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trlProps/ctrlProp8.xml" ContentType="application/vnd.ms-excel.controlproperties+xml"/>
  <Override PartName="/xl/ctrlProps/ctrlProp9.xml" ContentType="application/vnd.ms-excel.controlpropertie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ЭтаКнига" defaultThemeVersion="124226"/>
  <bookViews>
    <workbookView xWindow="-15" yWindow="405" windowWidth="15480" windowHeight="5760" tabRatio="930"/>
  </bookViews>
  <sheets>
    <sheet name="СПЛИТ" sheetId="4" r:id="rId1"/>
    <sheet name="Медиа-Заявка" sheetId="39" r:id="rId2"/>
    <sheet name="Итого" sheetId="55" r:id="rId3"/>
    <sheet name="##" sheetId="6" state="veryHidden" r:id="rId4"/>
    <sheet name="#Скидки" sheetId="89" state="veryHidden" r:id="rId5"/>
    <sheet name="#Имена" sheetId="72" state="veryHidden" r:id="rId6"/>
    <sheet name="Yandex.ru" sheetId="42" r:id="rId7"/>
    <sheet name="ЯЗНАЮ" sheetId="105" r:id="rId8"/>
    <sheet name="VK.com" sheetId="96" r:id="rId9"/>
    <sheet name="RBC.ru" sheetId="41" r:id="rId10"/>
    <sheet name="Afisha.ru" sheetId="47" r:id="rId11"/>
    <sheet name="Rusnovosti.ru" sheetId="44" r:id="rId12"/>
    <sheet name="Avito.ru" sheetId="92" r:id="rId13"/>
    <sheet name="Muz-tv.ru" sheetId="93" r:id="rId14"/>
    <sheet name="Motor.ru" sheetId="94" r:id="rId15"/>
    <sheet name="Kommersant.ru" sheetId="45" r:id="rId16"/>
    <sheet name="Newsru.com" sheetId="46" r:id="rId17"/>
    <sheet name="WMJ.ru" sheetId="67" r:id="rId18"/>
    <sheet name="Passion.ru" sheetId="85" r:id="rId19"/>
    <sheet name="Vesti.ru" sheetId="76" r:id="rId20"/>
    <sheet name="RIA.ru" sheetId="52" r:id="rId21"/>
    <sheet name="InoPressa.ru" sheetId="59" r:id="rId22"/>
    <sheet name="LiveInternet.ru" sheetId="60" r:id="rId23"/>
    <sheet name="Sports.ru" sheetId="68" r:id="rId24"/>
    <sheet name="Auto.ru" sheetId="51" r:id="rId25"/>
    <sheet name="3DNews.ru" sheetId="66" r:id="rId26"/>
    <sheet name="VokrugSveta.ru" sheetId="54" r:id="rId27"/>
    <sheet name="Friday.ru" sheetId="56" r:id="rId28"/>
    <sheet name="101.ru" sheetId="104" r:id="rId29"/>
    <sheet name="GoodHouse.ru" sheetId="82" r:id="rId30"/>
    <sheet name="MedPortal.ru" sheetId="79" r:id="rId31"/>
    <sheet name="Tvidi.ru" sheetId="75" r:id="rId32"/>
    <sheet name="Disney.ru" sheetId="103" r:id="rId33"/>
    <sheet name="Echo.Msk.ru" sheetId="58" r:id="rId34"/>
    <sheet name="F1News.ru" sheetId="53" r:id="rId35"/>
    <sheet name="ВидеоСеть" sheetId="97" r:id="rId36"/>
  </sheets>
  <definedNames>
    <definedName name="afishaPrice" hidden="1">Afisha.ru!$B$22:$J$41</definedName>
    <definedName name="afishaSeason" hidden="1">Afisha.ru!$C$7:$C$18</definedName>
    <definedName name="autoPrice" hidden="1">Auto.ru!$B$22:$J$26</definedName>
    <definedName name="autoSeason" hidden="1">Auto.ru!$C$7:$C$18</definedName>
    <definedName name="AvitoPrice" hidden="1">Avito.ru!$B$22:$K$31</definedName>
    <definedName name="AvitoSeason" hidden="1">Avito.ru!$C$7:$C$18</definedName>
    <definedName name="creditCoef" hidden="1">5%</definedName>
    <definedName name="currentVersion">СПЛИТ!$B$3</definedName>
    <definedName name="d3Price" hidden="1">'3DNews.ru'!$B$22:$J$27</definedName>
    <definedName name="d3Season" hidden="1">'3DNews.ru'!$C$7:$C$18</definedName>
    <definedName name="discAgency" hidden="1">IF(AND(splitAgency&lt;&gt;"&lt; Название РА &gt;",LEN(splitAgency)&gt;0),valAgency,0%)</definedName>
    <definedName name="discReachX" hidden="1">IF(fixReachX,valReach,0)</definedName>
    <definedName name="discReachZ" hidden="1">IF(fixReachZ,valReach,0)</definedName>
    <definedName name="discSplit" hidden="1">'##'!$H$7</definedName>
    <definedName name="discSplitInput" hidden="1">СПЛИТ!$C$13</definedName>
    <definedName name="DisneyPrice" hidden="1">Disney.ru!$B$22:$J$29</definedName>
    <definedName name="DisneySeason" hidden="1">Disney.ru!$C$7:$C$18</definedName>
    <definedName name="echoPrice" hidden="1">Echo.Msk.ru!$B$22:$J$27</definedName>
    <definedName name="echoSeason" hidden="1">Echo.Msk.ru!$C$7:$C$18</definedName>
    <definedName name="extraDelayX" hidden="1">IF(fixDelayX,valCredit,0)</definedName>
    <definedName name="extraDelayZ" hidden="1">IF(fixDelayZ,valCredit,0)</definedName>
    <definedName name="f1newsPrice" hidden="1">F1News.ru!$B$22:$J$40</definedName>
    <definedName name="f1newsSeason" hidden="1">F1News.ru!$C$7:$C$18</definedName>
    <definedName name="fixDelayX" hidden="1">'##'!$H$4</definedName>
    <definedName name="fixDelayZ" hidden="1">'##'!$I$4</definedName>
    <definedName name="fixDiscZ" hidden="1">'##'!$I$5</definedName>
    <definedName name="fixReachX" hidden="1">'##'!$H$3</definedName>
    <definedName name="fixReachZ" hidden="1">'##'!$I$3</definedName>
    <definedName name="freqCol" hidden="1">'Медиа-Заявка'!$AT:$AT</definedName>
    <definedName name="freqPro" hidden="1">'Медиа-Заявка'!$AR:$AR</definedName>
    <definedName name="FridayPrice" hidden="1">Friday.ru!$B$22:$J$37</definedName>
    <definedName name="FridaySeason" hidden="1">Friday.ru!$C$7:$C$18</definedName>
    <definedName name="gdhsPrice" hidden="1">GoodHouse.ru!$B$22:$J$27</definedName>
    <definedName name="gdhsSeason" hidden="1">GoodHouse.ru!$C$7:$C$18</definedName>
    <definedName name="indBud" hidden="1">СПЛИТ!$C$22:$C$53</definedName>
    <definedName name="indBudDiscX" hidden="1">'##'!$G$19:$G$50</definedName>
    <definedName name="indBudDiscZX" hidden="1">'##'!$H$19:$H$50</definedName>
    <definedName name="indBudPlus" hidden="1">СПЛИТ!#REF!</definedName>
    <definedName name="indBudPlusX" hidden="1">'##'!#REF!</definedName>
    <definedName name="indBudSpecZX" hidden="1">'##'!$I$19:$I$50</definedName>
    <definedName name="indBudX" hidden="1">'##'!$F$19:$F$50</definedName>
    <definedName name="indDiscAgencyX" hidden="1">'##'!$O$19:$O$50</definedName>
    <definedName name="indDiscConsZX" hidden="1">'##'!$S$19:$S$50</definedName>
    <definedName name="indDiscDopX" hidden="1">'##'!$R$19:$R$50</definedName>
    <definedName name="indDiscDopZX" hidden="1">'##'!$U$19:$U$50</definedName>
    <definedName name="indDiscExpl" hidden="1">СПЛИТ!$G$22:$G$53</definedName>
    <definedName name="indDiscGpZX" hidden="1">'##'!$T$19:$T$50</definedName>
    <definedName name="indDiscGroupX" hidden="1">'##'!$E$19:$E$50</definedName>
    <definedName name="indDiscMaxX" hidden="1">'##'!$N$19:$N$50</definedName>
    <definedName name="indDiscPrefix" hidden="1">'#Скидки'!$B$2:$AE$2</definedName>
    <definedName name="indDiscVal" hidden="1">'#Скидки'!$B$11:$AE$11</definedName>
    <definedName name="indDiscValVZ" hidden="1">'#Скидки'!$B$15:$AE$15</definedName>
    <definedName name="indDiscValZ" hidden="1">'#Скидки'!$B$14:$AE$14</definedName>
    <definedName name="indDiscVZX" hidden="1">'##'!$L$19:$L$50</definedName>
    <definedName name="indDiscX" hidden="1">'##'!$J$19:$J$50</definedName>
    <definedName name="indDiscZX" hidden="1">'##'!$K$19:$K$50</definedName>
    <definedName name="indN" hidden="1">'##'!$B$51</definedName>
    <definedName name="indPlanBud" hidden="1">'Медиа-Заявка'!$BH$10:$BH$341</definedName>
    <definedName name="indPlanBudZ" hidden="1">'Медиа-Заявка'!$BG$10:$BG$341</definedName>
    <definedName name="indPlanPNs" hidden="1">'Медиа-Заявка'!$AP$10:$AP$341</definedName>
    <definedName name="indPlanPrefix" hidden="1">'Медиа-Заявка'!$AN$10:$AN$341</definedName>
    <definedName name="indPlanR" hidden="1">'Медиа-Заявка'!$BI$10:$BI$341</definedName>
    <definedName name="indPlanSpec" hidden="1">'Медиа-Заявка'!$AY$10:$AY$341</definedName>
    <definedName name="indPlanUnitU" hidden="1">'Медиа-Заявка'!$C$10:$C$341</definedName>
    <definedName name="indPrefixX" hidden="1">'##'!$C$19:$C$50</definedName>
    <definedName name="indRX" hidden="1">'##'!$M$19:$M$50</definedName>
    <definedName name="indSiteX" hidden="1">'##'!$D$19:$D$50</definedName>
    <definedName name="inoPrice" hidden="1">InoPressa.ru!$B$22:$J$26</definedName>
    <definedName name="inoSeason" hidden="1">InoPressa.ru!$C$7:$C$18</definedName>
    <definedName name="kommPrice" hidden="1">Kommersant.ru!$B$22:$J$31</definedName>
    <definedName name="kommSeason" hidden="1">Kommersant.ru!$C$7:$C$18</definedName>
    <definedName name="linkTest">'##'!$A$1</definedName>
    <definedName name="listCalc">'Медиа-Заявка'!$AN$10:$CL$10</definedName>
    <definedName name="listDisc" hidden="1">'#Скидки'!$D$16:$D$74</definedName>
    <definedName name="listDiscYa" hidden="1">'#Скидки'!$B$16:$B$97</definedName>
    <definedName name="livePrice" hidden="1">LiveInternet.ru!$B$22:$J$39</definedName>
    <definedName name="liveSeason" hidden="1">LiveInternet.ru!$C$7:$C$18</definedName>
    <definedName name="lookBud" hidden="1">СПЛИТ!$B$22:$C$53</definedName>
    <definedName name="lookDop" hidden="1">СПЛИТ!$B$22:$D$53</definedName>
    <definedName name="lookED" hidden="1">СПЛИТ!$B$22:$G$53</definedName>
    <definedName name="lookPc" hidden="1">СПЛИТ!$B$22:$D$53</definedName>
    <definedName name="lookPrefix" hidden="1">'##'!$E$19:$E$50</definedName>
    <definedName name="lookSite" hidden="1">'##'!$D$19:$E$50</definedName>
    <definedName name="medPrice" hidden="1">MedPortal.ru!$B$22:$J$28</definedName>
    <definedName name="medResRows">'Медиа-Заявка'!$AP:$AP</definedName>
    <definedName name="medSeason" hidden="1">MedPortal.ru!$C$7:$C$18</definedName>
    <definedName name="monthError" hidden="1">monthStart&gt;monthFinish</definedName>
    <definedName name="monthFinish" hidden="1">'##'!$K$4</definedName>
    <definedName name="months" hidden="1">'##'!$C$3:$C$14</definedName>
    <definedName name="monthStart" hidden="1">'##'!$K$3</definedName>
    <definedName name="MotorPrice" hidden="1">Motor.ru!$B$22:$J$29</definedName>
    <definedName name="MotorSeason" hidden="1">Motor.ru!$C$7:$C$18</definedName>
    <definedName name="MuztvPrice" hidden="1">'Muz-tv.ru'!$B$22:$J$29</definedName>
    <definedName name="MuztvSeason" hidden="1">'Muz-tv.ru'!$C$7:$C$18</definedName>
    <definedName name="newsruPrice" hidden="1">Newsru.com!$B$22:$J$31</definedName>
    <definedName name="newsruSeason" hidden="1">Newsru.com!$C$7:$C$18</definedName>
    <definedName name="orders">'Медиа-Заявка'!$A$1</definedName>
    <definedName name="passionPrice" hidden="1">Passion.ru!$B$22:$J$31</definedName>
    <definedName name="passionSeason" hidden="1">Passion.ru!$C$7:$C$18</definedName>
    <definedName name="prefix" hidden="1">'##'!$C$20:$C$49</definedName>
    <definedName name="Protect">"imhovi"</definedName>
    <definedName name="rbcPrice" hidden="1">RBC.ru!$B$22:$K$37</definedName>
    <definedName name="rbcSeason" hidden="1">RBC.ru!$C$7:$C$18</definedName>
    <definedName name="resList">'Медиа-Заявка'!$AO:$AO</definedName>
    <definedName name="rianPrice" hidden="1">RIA.ru!$B$22:$J$51</definedName>
    <definedName name="rianSeason" hidden="1">RIA.ru!$C$7:$C$18</definedName>
    <definedName name="rusnovostiPrice" hidden="1">Rusnovosti.ru!$B$22:$J$25</definedName>
    <definedName name="rusnovostiSeason" hidden="1">Rusnovosti.ru!$C$7:$C$18</definedName>
    <definedName name="showCol">'Медиа-Заявка'!$K:$V</definedName>
    <definedName name="split" hidden="1">СПЛИТ!$A$1</definedName>
    <definedName name="splitAgency" hidden="1">СПЛИТ!$C$5</definedName>
    <definedName name="splitBrendName" hidden="1">СПЛИТ!$C$8</definedName>
    <definedName name="splitClient" hidden="1">СПЛИТ!$C$7</definedName>
    <definedName name="splitRkName" hidden="1">СПЛИТ!$C$9</definedName>
    <definedName name="spPrice" hidden="1">Sports.ru!$B$22:$J$39</definedName>
    <definedName name="spSeason" hidden="1">Sports.ru!$C$7:$C$18</definedName>
    <definedName name="stepCoef" hidden="1">50%</definedName>
    <definedName name="StoPrice" hidden="1">'101.ru'!$B$22:$J$29</definedName>
    <definedName name="StoSeason" hidden="1">'101.ru'!$C$7:$C$18</definedName>
    <definedName name="topleft">'Медиа-Заявка'!$B$10</definedName>
    <definedName name="tvidiPrice" hidden="1">Tvidi.ru!$B$22:$J$29</definedName>
    <definedName name="tvidiSeason" hidden="1">Tvidi.ru!$C$7:$C$18</definedName>
    <definedName name="typeCol" hidden="1">'Медиа-Заявка'!$BC:$BC</definedName>
    <definedName name="typeIndexPair" hidden="1">'##'!$D$3:$E$9</definedName>
    <definedName name="typeIndexSm" hidden="1">'##'!$D$3:$D$9</definedName>
    <definedName name="valAgency" hidden="1">10%</definedName>
    <definedName name="valCredit" hidden="1">5%</definedName>
    <definedName name="valDiscPrec" hidden="1">0.25%</definedName>
    <definedName name="valDiscSplitMax" hidden="1">10%</definedName>
    <definedName name="valDiscSplitYaMax" hidden="1">0%</definedName>
    <definedName name="valMinBillReachYa" hidden="1">500000</definedName>
    <definedName name="valReach" hidden="1">5%</definedName>
    <definedName name="vestiPrice" hidden="1">Vesti.ru!$B$22:$J$33</definedName>
    <definedName name="vestiSeason" hidden="1">Vesti.ru!$C$7:$C$18</definedName>
    <definedName name="VKPrice" hidden="1">VK.com!$B$22:$K$26</definedName>
    <definedName name="VKSeason" hidden="1">VK.com!$C$7:$C$18</definedName>
    <definedName name="vokrugPrice" hidden="1">VokrugSveta.ru!$B$22:$J$26</definedName>
    <definedName name="vokrugSeason" hidden="1">VokrugSveta.ru!$C$7:$C$18</definedName>
    <definedName name="vsetPrice" hidden="1">ВидеоСеть!$B$22:$K$36</definedName>
    <definedName name="vsetSeason" hidden="1">ВидеоСеть!$C$7:$C$18</definedName>
    <definedName name="wmjPrice" hidden="1">WMJ.ru!$B$22:$J$34</definedName>
    <definedName name="wmjSeason" hidden="1">WMJ.ru!$C$7:$C$18</definedName>
    <definedName name="yaDiscSpec" hidden="1">'#Скидки'!$C$4</definedName>
    <definedName name="yaPrice" hidden="1">Yandex.ru!$B$25:$K$65</definedName>
    <definedName name="yaSeason" hidden="1">Yandex.ru!$C$7:$C$18</definedName>
    <definedName name="YaZnauPrice" hidden="1">ЯЗНАЮ!$B$24:$K$36</definedName>
    <definedName name="YaZnauSeason" hidden="1">ЯЗНАЮ!$C$7:$C$18</definedName>
  </definedNames>
  <calcPr calcId="145621"/>
  <fileRecoveryPr autoRecover="0"/>
</workbook>
</file>

<file path=xl/calcChain.xml><?xml version="1.0" encoding="utf-8"?>
<calcChain xmlns="http://schemas.openxmlformats.org/spreadsheetml/2006/main">
  <c r="CJ266" i="39" l="1"/>
  <c r="CI266" i="39"/>
  <c r="CH266" i="39"/>
  <c r="CG266" i="39"/>
  <c r="CF266" i="39"/>
  <c r="CE266" i="39"/>
  <c r="CD266" i="39"/>
  <c r="CC266" i="39"/>
  <c r="CB266" i="39"/>
  <c r="CA266" i="39"/>
  <c r="BZ266" i="39"/>
  <c r="BY266" i="39"/>
  <c r="BX266" i="39"/>
  <c r="AP266" i="39"/>
  <c r="AO266" i="39"/>
  <c r="CJ265" i="39"/>
  <c r="CI265" i="39"/>
  <c r="CH265" i="39"/>
  <c r="CG265" i="39"/>
  <c r="CF265" i="39"/>
  <c r="CE265" i="39"/>
  <c r="CD265" i="39"/>
  <c r="CC265" i="39"/>
  <c r="CB265" i="39"/>
  <c r="CA265" i="39"/>
  <c r="BZ265" i="39"/>
  <c r="BY265" i="39"/>
  <c r="BX265" i="39"/>
  <c r="AP265" i="39"/>
  <c r="AO265" i="39"/>
  <c r="CJ264" i="39"/>
  <c r="CI264" i="39"/>
  <c r="CH264" i="39"/>
  <c r="CG264" i="39"/>
  <c r="CF264" i="39"/>
  <c r="CE264" i="39"/>
  <c r="CD264" i="39"/>
  <c r="CC264" i="39"/>
  <c r="CB264" i="39"/>
  <c r="CA264" i="39"/>
  <c r="BZ264" i="39"/>
  <c r="BY264" i="39"/>
  <c r="CK264" i="39" s="1" a="1"/>
  <c r="CK264" i="39" s="1"/>
  <c r="Z264" i="39" s="1"/>
  <c r="BX264" i="39"/>
  <c r="AP264" i="39"/>
  <c r="AO264" i="39"/>
  <c r="G33" i="56"/>
  <c r="G32" i="56"/>
  <c r="G31" i="56"/>
  <c r="CJ133" i="39"/>
  <c r="CI133" i="39"/>
  <c r="CH133" i="39"/>
  <c r="CG133" i="39"/>
  <c r="CF133" i="39"/>
  <c r="CE133" i="39"/>
  <c r="CD133" i="39"/>
  <c r="CC133" i="39"/>
  <c r="CB133" i="39"/>
  <c r="CA133" i="39"/>
  <c r="BZ133" i="39"/>
  <c r="BY133" i="39"/>
  <c r="BX133" i="39"/>
  <c r="AP133" i="39"/>
  <c r="AO133" i="39"/>
  <c r="G30" i="45"/>
  <c r="BJ133" i="39"/>
  <c r="BJ266" i="39"/>
  <c r="BJ265" i="39"/>
  <c r="BJ264" i="39"/>
  <c r="CK266" i="39" l="1" a="1"/>
  <c r="CK266" i="39" s="1"/>
  <c r="Z266" i="39" s="1"/>
  <c r="CK265" i="39" a="1"/>
  <c r="CK265" i="39" s="1"/>
  <c r="Z265" i="39" s="1"/>
  <c r="CK133" i="39" a="1"/>
  <c r="CK133" i="39" s="1"/>
  <c r="Z133" i="39" s="1"/>
  <c r="BT265" i="39"/>
  <c r="BV264" i="39"/>
  <c r="BN133" i="39"/>
  <c r="BO265" i="39"/>
  <c r="BR266" i="39"/>
  <c r="BM264" i="39"/>
  <c r="BL133" i="39"/>
  <c r="BV266" i="39"/>
  <c r="BM266" i="39"/>
  <c r="BK266" i="39"/>
  <c r="BU265" i="39"/>
  <c r="BQ265" i="39"/>
  <c r="BS265" i="39"/>
  <c r="BU264" i="39"/>
  <c r="BQ264" i="39"/>
  <c r="BS264" i="39"/>
  <c r="BR133" i="39"/>
  <c r="BT133" i="39"/>
  <c r="BK133" i="39"/>
  <c r="BQ266" i="39"/>
  <c r="BT266" i="39"/>
  <c r="BS266" i="39"/>
  <c r="BP265" i="39"/>
  <c r="BL265" i="39"/>
  <c r="BN265" i="39"/>
  <c r="BP264" i="39"/>
  <c r="BL264" i="39"/>
  <c r="BN264" i="39"/>
  <c r="BM133" i="39"/>
  <c r="BO133" i="39"/>
  <c r="BV133" i="39"/>
  <c r="BL266" i="39"/>
  <c r="BU266" i="39"/>
  <c r="BN266" i="39"/>
  <c r="BK265" i="39"/>
  <c r="BR265" i="39"/>
  <c r="BK264" i="39"/>
  <c r="BR264" i="39"/>
  <c r="BT264" i="39"/>
  <c r="BS133" i="39"/>
  <c r="BU133" i="39"/>
  <c r="BQ133" i="39"/>
  <c r="BP266" i="39"/>
  <c r="BO266" i="39"/>
  <c r="BV265" i="39"/>
  <c r="BM265" i="39"/>
  <c r="BO264" i="39"/>
  <c r="BP133" i="39"/>
  <c r="B51" i="4" l="1"/>
  <c r="B22" i="6" l="1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CJ62" i="39"/>
  <c r="CI62" i="39"/>
  <c r="CH62" i="39"/>
  <c r="CG62" i="39"/>
  <c r="CF62" i="39"/>
  <c r="CE62" i="39"/>
  <c r="CD62" i="39"/>
  <c r="CC62" i="39"/>
  <c r="CB62" i="39"/>
  <c r="CA62" i="39"/>
  <c r="BZ62" i="39"/>
  <c r="BY62" i="39"/>
  <c r="BX62" i="39"/>
  <c r="AP62" i="39"/>
  <c r="AO62" i="39"/>
  <c r="CJ61" i="39"/>
  <c r="CI61" i="39"/>
  <c r="CH61" i="39"/>
  <c r="CG61" i="39"/>
  <c r="CF61" i="39"/>
  <c r="CE61" i="39"/>
  <c r="CD61" i="39"/>
  <c r="CC61" i="39"/>
  <c r="CB61" i="39"/>
  <c r="CA61" i="39"/>
  <c r="BZ61" i="39"/>
  <c r="BY61" i="39"/>
  <c r="BX61" i="39"/>
  <c r="AP61" i="39"/>
  <c r="AO61" i="39"/>
  <c r="CJ60" i="39"/>
  <c r="CI60" i="39"/>
  <c r="CH60" i="39"/>
  <c r="CG60" i="39"/>
  <c r="CF60" i="39"/>
  <c r="CE60" i="39"/>
  <c r="CD60" i="39"/>
  <c r="CC60" i="39"/>
  <c r="CB60" i="39"/>
  <c r="CA60" i="39"/>
  <c r="BZ60" i="39"/>
  <c r="BY60" i="39"/>
  <c r="BX60" i="39"/>
  <c r="AP60" i="39"/>
  <c r="AO60" i="39"/>
  <c r="CJ59" i="39"/>
  <c r="CI59" i="39"/>
  <c r="CH59" i="39"/>
  <c r="CG59" i="39"/>
  <c r="CF59" i="39"/>
  <c r="CE59" i="39"/>
  <c r="CD59" i="39"/>
  <c r="CC59" i="39"/>
  <c r="CB59" i="39"/>
  <c r="CA59" i="39"/>
  <c r="BZ59" i="39"/>
  <c r="BY59" i="39"/>
  <c r="BX59" i="39"/>
  <c r="AP59" i="39"/>
  <c r="AO59" i="39"/>
  <c r="CJ58" i="39"/>
  <c r="CI58" i="39"/>
  <c r="CH58" i="39"/>
  <c r="CG58" i="39"/>
  <c r="CF58" i="39"/>
  <c r="CE58" i="39"/>
  <c r="CD58" i="39"/>
  <c r="CC58" i="39"/>
  <c r="CB58" i="39"/>
  <c r="CA58" i="39"/>
  <c r="BZ58" i="39"/>
  <c r="BY58" i="39"/>
  <c r="BX58" i="39"/>
  <c r="AP58" i="39"/>
  <c r="AO58" i="39"/>
  <c r="CJ57" i="39"/>
  <c r="CI57" i="39"/>
  <c r="CH57" i="39"/>
  <c r="CG57" i="39"/>
  <c r="CF57" i="39"/>
  <c r="CE57" i="39"/>
  <c r="CD57" i="39"/>
  <c r="CC57" i="39"/>
  <c r="CB57" i="39"/>
  <c r="CA57" i="39"/>
  <c r="BZ57" i="39"/>
  <c r="BY57" i="39"/>
  <c r="BX57" i="39"/>
  <c r="AP57" i="39"/>
  <c r="AO57" i="39"/>
  <c r="CJ56" i="39"/>
  <c r="CI56" i="39"/>
  <c r="CH56" i="39"/>
  <c r="CG56" i="39"/>
  <c r="CF56" i="39"/>
  <c r="CE56" i="39"/>
  <c r="CD56" i="39"/>
  <c r="CC56" i="39"/>
  <c r="CB56" i="39"/>
  <c r="CA56" i="39"/>
  <c r="BZ56" i="39"/>
  <c r="BY56" i="39"/>
  <c r="BX56" i="39"/>
  <c r="AP56" i="39"/>
  <c r="AO56" i="39"/>
  <c r="CJ55" i="39"/>
  <c r="CI55" i="39"/>
  <c r="CH55" i="39"/>
  <c r="CG55" i="39"/>
  <c r="CF55" i="39"/>
  <c r="CE55" i="39"/>
  <c r="CD55" i="39"/>
  <c r="CC55" i="39"/>
  <c r="CB55" i="39"/>
  <c r="CA55" i="39"/>
  <c r="BZ55" i="39"/>
  <c r="BY55" i="39"/>
  <c r="BX55" i="39"/>
  <c r="AP55" i="39"/>
  <c r="AO55" i="39"/>
  <c r="CJ54" i="39"/>
  <c r="CI54" i="39"/>
  <c r="CH54" i="39"/>
  <c r="CG54" i="39"/>
  <c r="CF54" i="39"/>
  <c r="CE54" i="39"/>
  <c r="CD54" i="39"/>
  <c r="CC54" i="39"/>
  <c r="CB54" i="39"/>
  <c r="CA54" i="39"/>
  <c r="BZ54" i="39"/>
  <c r="BY54" i="39"/>
  <c r="BX54" i="39"/>
  <c r="AP54" i="39"/>
  <c r="AO54" i="39"/>
  <c r="CJ53" i="39"/>
  <c r="CI53" i="39"/>
  <c r="CH53" i="39"/>
  <c r="CG53" i="39"/>
  <c r="CF53" i="39"/>
  <c r="CE53" i="39"/>
  <c r="CD53" i="39"/>
  <c r="CC53" i="39"/>
  <c r="CB53" i="39"/>
  <c r="CA53" i="39"/>
  <c r="BZ53" i="39"/>
  <c r="BY53" i="39"/>
  <c r="BX53" i="39"/>
  <c r="AP53" i="39"/>
  <c r="AO53" i="39"/>
  <c r="CJ52" i="39"/>
  <c r="CI52" i="39"/>
  <c r="CH52" i="39"/>
  <c r="CG52" i="39"/>
  <c r="CF52" i="39"/>
  <c r="CE52" i="39"/>
  <c r="CD52" i="39"/>
  <c r="CC52" i="39"/>
  <c r="CB52" i="39"/>
  <c r="CA52" i="39"/>
  <c r="BZ52" i="39"/>
  <c r="BY52" i="39"/>
  <c r="BX52" i="39"/>
  <c r="AP52" i="39"/>
  <c r="AO52" i="39"/>
  <c r="AY51" i="39"/>
  <c r="I21" i="6" s="1"/>
  <c r="AP51" i="39"/>
  <c r="W21" i="6" s="1"/>
  <c r="AO51" i="39"/>
  <c r="B15" i="55"/>
  <c r="F8" i="89"/>
  <c r="F7" i="89" s="1"/>
  <c r="F6" i="89"/>
  <c r="F5" i="89"/>
  <c r="O21" i="6"/>
  <c r="B21" i="6"/>
  <c r="F21" i="6" s="1"/>
  <c r="F9" i="89" s="1"/>
  <c r="G29" i="105"/>
  <c r="G35" i="105"/>
  <c r="G34" i="105"/>
  <c r="G33" i="105"/>
  <c r="G32" i="105"/>
  <c r="G31" i="105"/>
  <c r="G30" i="105"/>
  <c r="G28" i="105"/>
  <c r="G27" i="105"/>
  <c r="G26" i="105"/>
  <c r="G25" i="105"/>
  <c r="D2" i="105"/>
  <c r="V21" i="6"/>
  <c r="CK52" i="39" l="1" a="1"/>
  <c r="CK52" i="39" s="1"/>
  <c r="Z52" i="39" s="1"/>
  <c r="CK56" i="39" a="1"/>
  <c r="CK56" i="39" s="1"/>
  <c r="Z56" i="39" s="1"/>
  <c r="CK60" i="39" a="1"/>
  <c r="CK60" i="39" s="1"/>
  <c r="Z60" i="39" s="1"/>
  <c r="AX51" i="39"/>
  <c r="B51" i="39" s="1"/>
  <c r="CK54" i="39" a="1"/>
  <c r="CK54" i="39" s="1"/>
  <c r="Z54" i="39" s="1"/>
  <c r="CK58" i="39" a="1"/>
  <c r="CK58" i="39" s="1"/>
  <c r="Z58" i="39" s="1"/>
  <c r="CK62" i="39" a="1"/>
  <c r="CK62" i="39" s="1"/>
  <c r="Z62" i="39" s="1"/>
  <c r="CK53" i="39" a="1"/>
  <c r="CK53" i="39" s="1"/>
  <c r="Z53" i="39" s="1"/>
  <c r="CK57" i="39" a="1"/>
  <c r="CK57" i="39" s="1"/>
  <c r="Z57" i="39" s="1"/>
  <c r="CK61" i="39" a="1"/>
  <c r="CK61" i="39" s="1"/>
  <c r="Z61" i="39" s="1"/>
  <c r="CK55" i="39" a="1"/>
  <c r="CK55" i="39" s="1"/>
  <c r="Z55" i="39" s="1"/>
  <c r="CK59" i="39" a="1"/>
  <c r="CK59" i="39" s="1"/>
  <c r="Z59" i="39" s="1"/>
  <c r="F52" i="89"/>
  <c r="F68" i="89"/>
  <c r="F74" i="89"/>
  <c r="F86" i="89" s="1"/>
  <c r="F60" i="89"/>
  <c r="F64" i="89"/>
  <c r="F56" i="89"/>
  <c r="F72" i="89"/>
  <c r="F36" i="89"/>
  <c r="F24" i="89"/>
  <c r="F48" i="89"/>
  <c r="F20" i="89"/>
  <c r="F44" i="89"/>
  <c r="F28" i="89"/>
  <c r="F40" i="89"/>
  <c r="F32" i="89"/>
  <c r="F19" i="89"/>
  <c r="F23" i="89"/>
  <c r="F27" i="89"/>
  <c r="F31" i="89"/>
  <c r="F35" i="89"/>
  <c r="F39" i="89"/>
  <c r="F43" i="89"/>
  <c r="F47" i="89"/>
  <c r="F51" i="89"/>
  <c r="F55" i="89"/>
  <c r="F59" i="89"/>
  <c r="F63" i="89"/>
  <c r="F67" i="89"/>
  <c r="F71" i="89"/>
  <c r="F21" i="89"/>
  <c r="F25" i="89"/>
  <c r="F29" i="89"/>
  <c r="F33" i="89"/>
  <c r="F37" i="89"/>
  <c r="F41" i="89"/>
  <c r="F45" i="89"/>
  <c r="F49" i="89"/>
  <c r="F53" i="89"/>
  <c r="F57" i="89"/>
  <c r="F61" i="89"/>
  <c r="F65" i="89"/>
  <c r="F69" i="89"/>
  <c r="F73" i="89"/>
  <c r="F18" i="89"/>
  <c r="F22" i="89"/>
  <c r="F26" i="89"/>
  <c r="F30" i="89"/>
  <c r="F34" i="89"/>
  <c r="F38" i="89"/>
  <c r="F42" i="89"/>
  <c r="F46" i="89"/>
  <c r="F50" i="89"/>
  <c r="F54" i="89"/>
  <c r="F58" i="89"/>
  <c r="F62" i="89"/>
  <c r="F66" i="89"/>
  <c r="F70" i="89"/>
  <c r="CJ189" i="39"/>
  <c r="CI189" i="39"/>
  <c r="CH189" i="39"/>
  <c r="CG189" i="39"/>
  <c r="CF189" i="39"/>
  <c r="CE189" i="39"/>
  <c r="CD189" i="39"/>
  <c r="CC189" i="39"/>
  <c r="CB189" i="39"/>
  <c r="CA189" i="39"/>
  <c r="BZ189" i="39"/>
  <c r="BY189" i="39"/>
  <c r="BX189" i="39"/>
  <c r="AP189" i="39"/>
  <c r="AO189" i="39"/>
  <c r="G41" i="52"/>
  <c r="BJ189" i="39"/>
  <c r="CK189" i="39" l="1" a="1"/>
  <c r="CK189" i="39" s="1"/>
  <c r="Z189" i="39" s="1"/>
  <c r="F75" i="89"/>
  <c r="F76" i="89"/>
  <c r="F77" i="89"/>
  <c r="F78" i="89"/>
  <c r="F87" i="89"/>
  <c r="F88" i="89"/>
  <c r="F89" i="89"/>
  <c r="F90" i="89"/>
  <c r="F79" i="89"/>
  <c r="F80" i="89"/>
  <c r="F81" i="89"/>
  <c r="F82" i="89"/>
  <c r="F83" i="89"/>
  <c r="F84" i="89"/>
  <c r="F85" i="89"/>
  <c r="BR189" i="39"/>
  <c r="BU189" i="39"/>
  <c r="BT189" i="39"/>
  <c r="BO189" i="39"/>
  <c r="BL189" i="39"/>
  <c r="BN189" i="39"/>
  <c r="BV189" i="39"/>
  <c r="BP189" i="39"/>
  <c r="BK189" i="39"/>
  <c r="BS189" i="39"/>
  <c r="BM189" i="39"/>
  <c r="BQ189" i="39"/>
  <c r="CJ72" i="39" l="1"/>
  <c r="CI72" i="39"/>
  <c r="CH72" i="39"/>
  <c r="CG72" i="39"/>
  <c r="CF72" i="39"/>
  <c r="CE72" i="39"/>
  <c r="CD72" i="39"/>
  <c r="CC72" i="39"/>
  <c r="CB72" i="39"/>
  <c r="CA72" i="39"/>
  <c r="BZ72" i="39"/>
  <c r="BY72" i="39"/>
  <c r="BX72" i="39"/>
  <c r="AP72" i="39"/>
  <c r="AO72" i="39"/>
  <c r="G35" i="41"/>
  <c r="CK72" i="39" l="1" a="1"/>
  <c r="CK72" i="39" s="1"/>
  <c r="Z72" i="39" s="1"/>
  <c r="CJ287" i="39"/>
  <c r="CI287" i="39"/>
  <c r="CH287" i="39"/>
  <c r="CG287" i="39"/>
  <c r="CF287" i="39"/>
  <c r="CE287" i="39"/>
  <c r="CD287" i="39"/>
  <c r="CC287" i="39"/>
  <c r="CB287" i="39"/>
  <c r="CA287" i="39"/>
  <c r="BZ287" i="39"/>
  <c r="BY287" i="39"/>
  <c r="BX287" i="39"/>
  <c r="AP287" i="39"/>
  <c r="AO287" i="39"/>
  <c r="G25" i="79"/>
  <c r="CJ316" i="39"/>
  <c r="CI316" i="39"/>
  <c r="CH316" i="39"/>
  <c r="CG316" i="39"/>
  <c r="CF316" i="39"/>
  <c r="CE316" i="39"/>
  <c r="CD316" i="39"/>
  <c r="CC316" i="39"/>
  <c r="CB316" i="39"/>
  <c r="CA316" i="39"/>
  <c r="BZ316" i="39"/>
  <c r="BY316" i="39"/>
  <c r="BX316" i="39"/>
  <c r="AP316" i="39"/>
  <c r="AO316" i="39"/>
  <c r="CJ315" i="39"/>
  <c r="CI315" i="39"/>
  <c r="CH315" i="39"/>
  <c r="CG315" i="39"/>
  <c r="CF315" i="39"/>
  <c r="CE315" i="39"/>
  <c r="CD315" i="39"/>
  <c r="CC315" i="39"/>
  <c r="CB315" i="39"/>
  <c r="CA315" i="39"/>
  <c r="BZ315" i="39"/>
  <c r="BY315" i="39"/>
  <c r="BX315" i="39"/>
  <c r="AP315" i="39"/>
  <c r="AO315" i="39"/>
  <c r="CJ314" i="39"/>
  <c r="CI314" i="39"/>
  <c r="CH314" i="39"/>
  <c r="CG314" i="39"/>
  <c r="CF314" i="39"/>
  <c r="CE314" i="39"/>
  <c r="CD314" i="39"/>
  <c r="CC314" i="39"/>
  <c r="CB314" i="39"/>
  <c r="CA314" i="39"/>
  <c r="BZ314" i="39"/>
  <c r="BY314" i="39"/>
  <c r="BX314" i="39"/>
  <c r="AP314" i="39"/>
  <c r="AO314" i="39"/>
  <c r="G24" i="53"/>
  <c r="G29" i="53"/>
  <c r="G28" i="53"/>
  <c r="BJ316" i="39"/>
  <c r="BJ315" i="39"/>
  <c r="BJ287" i="39"/>
  <c r="BJ314" i="39"/>
  <c r="CK315" i="39" l="1" a="1"/>
  <c r="CK315" i="39" s="1"/>
  <c r="Z315" i="39" s="1"/>
  <c r="CK314" i="39" a="1"/>
  <c r="CK314" i="39" s="1"/>
  <c r="Z314" i="39" s="1"/>
  <c r="CK316" i="39" a="1"/>
  <c r="CK316" i="39" s="1"/>
  <c r="Z316" i="39" s="1"/>
  <c r="CK287" i="39" a="1"/>
  <c r="CK287" i="39" s="1"/>
  <c r="Z287" i="39" s="1"/>
  <c r="CJ35" i="39"/>
  <c r="CI35" i="39"/>
  <c r="CH35" i="39"/>
  <c r="CG35" i="39"/>
  <c r="CF35" i="39"/>
  <c r="CE35" i="39"/>
  <c r="CD35" i="39"/>
  <c r="CC35" i="39"/>
  <c r="CB35" i="39"/>
  <c r="CA35" i="39"/>
  <c r="BZ35" i="39"/>
  <c r="BY35" i="39"/>
  <c r="BX35" i="39"/>
  <c r="AP35" i="39"/>
  <c r="AO35" i="39"/>
  <c r="CJ34" i="39"/>
  <c r="CI34" i="39"/>
  <c r="CH34" i="39"/>
  <c r="CG34" i="39"/>
  <c r="CF34" i="39"/>
  <c r="CE34" i="39"/>
  <c r="CD34" i="39"/>
  <c r="CC34" i="39"/>
  <c r="CB34" i="39"/>
  <c r="CA34" i="39"/>
  <c r="BZ34" i="39"/>
  <c r="BY34" i="39"/>
  <c r="BX34" i="39"/>
  <c r="AP34" i="39"/>
  <c r="AO34" i="39"/>
  <c r="CJ33" i="39"/>
  <c r="CI33" i="39"/>
  <c r="CH33" i="39"/>
  <c r="CG33" i="39"/>
  <c r="CF33" i="39"/>
  <c r="CE33" i="39"/>
  <c r="CD33" i="39"/>
  <c r="CC33" i="39"/>
  <c r="CB33" i="39"/>
  <c r="CA33" i="39"/>
  <c r="BZ33" i="39"/>
  <c r="BY33" i="39"/>
  <c r="BX33" i="39"/>
  <c r="AP33" i="39"/>
  <c r="AO33" i="39"/>
  <c r="CJ32" i="39"/>
  <c r="CI32" i="39"/>
  <c r="CH32" i="39"/>
  <c r="CG32" i="39"/>
  <c r="CF32" i="39"/>
  <c r="CE32" i="39"/>
  <c r="CD32" i="39"/>
  <c r="CC32" i="39"/>
  <c r="CB32" i="39"/>
  <c r="CA32" i="39"/>
  <c r="BZ32" i="39"/>
  <c r="BY32" i="39"/>
  <c r="BX32" i="39"/>
  <c r="AP32" i="39"/>
  <c r="AO32" i="39"/>
  <c r="CJ31" i="39"/>
  <c r="CI31" i="39"/>
  <c r="CH31" i="39"/>
  <c r="CG31" i="39"/>
  <c r="CF31" i="39"/>
  <c r="CE31" i="39"/>
  <c r="CD31" i="39"/>
  <c r="CC31" i="39"/>
  <c r="CB31" i="39"/>
  <c r="CA31" i="39"/>
  <c r="BZ31" i="39"/>
  <c r="BY31" i="39"/>
  <c r="BX31" i="39"/>
  <c r="AP31" i="39"/>
  <c r="AO31" i="39"/>
  <c r="CJ30" i="39"/>
  <c r="CI30" i="39"/>
  <c r="CH30" i="39"/>
  <c r="CG30" i="39"/>
  <c r="CF30" i="39"/>
  <c r="CE30" i="39"/>
  <c r="CD30" i="39"/>
  <c r="CC30" i="39"/>
  <c r="CB30" i="39"/>
  <c r="CA30" i="39"/>
  <c r="BZ30" i="39"/>
  <c r="BY30" i="39"/>
  <c r="BX30" i="39"/>
  <c r="AP30" i="39"/>
  <c r="AO30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AP29" i="39"/>
  <c r="AO29" i="39"/>
  <c r="CJ28" i="39"/>
  <c r="CI28" i="39"/>
  <c r="CH28" i="39"/>
  <c r="CG28" i="39"/>
  <c r="CF28" i="39"/>
  <c r="CE28" i="39"/>
  <c r="CD28" i="39"/>
  <c r="CC28" i="39"/>
  <c r="CB28" i="39"/>
  <c r="CA28" i="39"/>
  <c r="BZ28" i="39"/>
  <c r="BY28" i="39"/>
  <c r="BX28" i="39"/>
  <c r="AP28" i="39"/>
  <c r="AO28" i="39"/>
  <c r="CJ27" i="39"/>
  <c r="CI27" i="39"/>
  <c r="CH27" i="39"/>
  <c r="CG27" i="39"/>
  <c r="CF27" i="39"/>
  <c r="CE27" i="39"/>
  <c r="CD27" i="39"/>
  <c r="CC27" i="39"/>
  <c r="CB27" i="39"/>
  <c r="CA27" i="39"/>
  <c r="BZ27" i="39"/>
  <c r="BY27" i="39"/>
  <c r="BX27" i="39"/>
  <c r="AP27" i="39"/>
  <c r="AO27" i="39"/>
  <c r="CJ26" i="39"/>
  <c r="CI26" i="39"/>
  <c r="CH26" i="39"/>
  <c r="CG26" i="39"/>
  <c r="CF26" i="39"/>
  <c r="CE26" i="39"/>
  <c r="CD26" i="39"/>
  <c r="CC26" i="39"/>
  <c r="CB26" i="39"/>
  <c r="CA26" i="39"/>
  <c r="BZ26" i="39"/>
  <c r="BY26" i="39"/>
  <c r="BX26" i="39"/>
  <c r="AP26" i="39"/>
  <c r="AO26" i="39"/>
  <c r="CJ25" i="39"/>
  <c r="CI25" i="39"/>
  <c r="CH25" i="39"/>
  <c r="CG25" i="39"/>
  <c r="CF25" i="39"/>
  <c r="CE25" i="39"/>
  <c r="CD25" i="39"/>
  <c r="CC25" i="39"/>
  <c r="CB25" i="39"/>
  <c r="CA25" i="39"/>
  <c r="BZ25" i="39"/>
  <c r="BY25" i="39"/>
  <c r="BX25" i="39"/>
  <c r="AP25" i="39"/>
  <c r="AO25" i="39"/>
  <c r="CJ24" i="39"/>
  <c r="CI24" i="39"/>
  <c r="CH24" i="39"/>
  <c r="CG24" i="39"/>
  <c r="CF24" i="39"/>
  <c r="CE24" i="39"/>
  <c r="CD24" i="39"/>
  <c r="CC24" i="39"/>
  <c r="CB24" i="39"/>
  <c r="CA24" i="39"/>
  <c r="BZ24" i="39"/>
  <c r="BY24" i="39"/>
  <c r="BX24" i="39"/>
  <c r="AP24" i="39"/>
  <c r="AO24" i="39"/>
  <c r="CJ23" i="39"/>
  <c r="CI23" i="39"/>
  <c r="CH23" i="39"/>
  <c r="CG23" i="39"/>
  <c r="CF23" i="39"/>
  <c r="CE23" i="39"/>
  <c r="CD23" i="39"/>
  <c r="CC23" i="39"/>
  <c r="CB23" i="39"/>
  <c r="CA23" i="39"/>
  <c r="BZ23" i="39"/>
  <c r="BY23" i="39"/>
  <c r="BX23" i="39"/>
  <c r="AP23" i="39"/>
  <c r="AO23" i="39"/>
  <c r="CJ22" i="39"/>
  <c r="CI22" i="39"/>
  <c r="CH22" i="39"/>
  <c r="CG22" i="39"/>
  <c r="CF22" i="39"/>
  <c r="CE22" i="39"/>
  <c r="CD22" i="39"/>
  <c r="CC22" i="39"/>
  <c r="CB22" i="39"/>
  <c r="CA22" i="39"/>
  <c r="BZ22" i="39"/>
  <c r="BY22" i="39"/>
  <c r="BX22" i="39"/>
  <c r="AP22" i="39"/>
  <c r="AO22" i="39"/>
  <c r="CJ21" i="39"/>
  <c r="CI21" i="39"/>
  <c r="CH21" i="39"/>
  <c r="CG21" i="39"/>
  <c r="CF21" i="39"/>
  <c r="CE21" i="39"/>
  <c r="CD21" i="39"/>
  <c r="CC21" i="39"/>
  <c r="CB21" i="39"/>
  <c r="CA21" i="39"/>
  <c r="BZ21" i="39"/>
  <c r="BY21" i="39"/>
  <c r="BX21" i="39"/>
  <c r="AP21" i="39"/>
  <c r="AO21" i="39"/>
  <c r="CJ20" i="39"/>
  <c r="CI20" i="39"/>
  <c r="CH20" i="39"/>
  <c r="CG20" i="39"/>
  <c r="CF20" i="39"/>
  <c r="CE20" i="39"/>
  <c r="CD20" i="39"/>
  <c r="CC20" i="39"/>
  <c r="CB20" i="39"/>
  <c r="CA20" i="39"/>
  <c r="BZ20" i="39"/>
  <c r="BY20" i="39"/>
  <c r="BX20" i="39"/>
  <c r="AP20" i="39"/>
  <c r="AO20" i="39"/>
  <c r="BM314" i="39"/>
  <c r="BN315" i="39"/>
  <c r="BO287" i="39"/>
  <c r="BR315" i="39"/>
  <c r="BQ316" i="39"/>
  <c r="BP315" i="39"/>
  <c r="BT316" i="39"/>
  <c r="BR314" i="39"/>
  <c r="BO316" i="39"/>
  <c r="BQ314" i="39"/>
  <c r="BN316" i="39"/>
  <c r="BS287" i="39"/>
  <c r="BM315" i="39"/>
  <c r="BT315" i="39"/>
  <c r="BN287" i="39"/>
  <c r="BV314" i="39"/>
  <c r="BS315" i="39"/>
  <c r="BS316" i="39"/>
  <c r="BO314" i="39"/>
  <c r="BU314" i="39"/>
  <c r="BR316" i="39"/>
  <c r="BQ287" i="39"/>
  <c r="BP287" i="39"/>
  <c r="BM316" i="39"/>
  <c r="BP314" i="39"/>
  <c r="BL315" i="39"/>
  <c r="BL287" i="39"/>
  <c r="BM287" i="39"/>
  <c r="BV316" i="39"/>
  <c r="BU315" i="39"/>
  <c r="BL316" i="39"/>
  <c r="BQ315" i="39"/>
  <c r="BO315" i="39"/>
  <c r="BU287" i="39"/>
  <c r="BP316" i="39"/>
  <c r="BK314" i="39"/>
  <c r="BK316" i="39"/>
  <c r="BV315" i="39"/>
  <c r="BV287" i="39"/>
  <c r="BN314" i="39"/>
  <c r="BT287" i="39"/>
  <c r="BU316" i="39"/>
  <c r="BR287" i="39"/>
  <c r="BS314" i="39"/>
  <c r="BK315" i="39"/>
  <c r="BT314" i="39"/>
  <c r="BK287" i="39"/>
  <c r="BL314" i="39"/>
  <c r="CK29" i="39" l="1" a="1"/>
  <c r="CK29" i="39" s="1"/>
  <c r="Z29" i="39" s="1"/>
  <c r="CK33" i="39" a="1"/>
  <c r="CK33" i="39" s="1"/>
  <c r="Z33" i="39" s="1"/>
  <c r="CK21" i="39" a="1"/>
  <c r="CK21" i="39" s="1"/>
  <c r="Z21" i="39" s="1"/>
  <c r="CK25" i="39" a="1"/>
  <c r="CK25" i="39" s="1"/>
  <c r="Z25" i="39" s="1"/>
  <c r="CK20" i="39" a="1"/>
  <c r="CK20" i="39" s="1"/>
  <c r="Z20" i="39" s="1"/>
  <c r="CK23" i="39" a="1"/>
  <c r="CK23" i="39" s="1"/>
  <c r="Z23" i="39" s="1"/>
  <c r="CK27" i="39" a="1"/>
  <c r="CK27" i="39" s="1"/>
  <c r="Z27" i="39" s="1"/>
  <c r="CK31" i="39" a="1"/>
  <c r="CK31" i="39" s="1"/>
  <c r="Z31" i="39" s="1"/>
  <c r="CK35" i="39" a="1"/>
  <c r="CK35" i="39" s="1"/>
  <c r="Z35" i="39" s="1"/>
  <c r="CK22" i="39" a="1"/>
  <c r="CK22" i="39" s="1"/>
  <c r="Z22" i="39" s="1"/>
  <c r="CK26" i="39" a="1"/>
  <c r="CK26" i="39" s="1"/>
  <c r="Z26" i="39" s="1"/>
  <c r="CK30" i="39" a="1"/>
  <c r="CK30" i="39" s="1"/>
  <c r="Z30" i="39" s="1"/>
  <c r="CK34" i="39" a="1"/>
  <c r="CK34" i="39" s="1"/>
  <c r="Z34" i="39" s="1"/>
  <c r="CK24" i="39" a="1"/>
  <c r="CK24" i="39" s="1"/>
  <c r="Z24" i="39" s="1"/>
  <c r="CK28" i="39" a="1"/>
  <c r="CK28" i="39" s="1"/>
  <c r="Z28" i="39" s="1"/>
  <c r="CK32" i="39" a="1"/>
  <c r="CK32" i="39" s="1"/>
  <c r="Z32" i="39" s="1"/>
  <c r="G63" i="42" l="1"/>
  <c r="G62" i="42"/>
  <c r="G61" i="42"/>
  <c r="G60" i="42"/>
  <c r="G53" i="42"/>
  <c r="G59" i="42" l="1"/>
  <c r="G58" i="42"/>
  <c r="G57" i="42"/>
  <c r="G56" i="42"/>
  <c r="G55" i="42"/>
  <c r="G54" i="42"/>
  <c r="G52" i="42"/>
  <c r="G51" i="42"/>
  <c r="G50" i="42"/>
  <c r="G49" i="42"/>
  <c r="G48" i="42"/>
  <c r="CJ235" i="39" l="1"/>
  <c r="CI235" i="39"/>
  <c r="CH235" i="39"/>
  <c r="CG235" i="39"/>
  <c r="CF235" i="39"/>
  <c r="CE235" i="39"/>
  <c r="CD235" i="39"/>
  <c r="CC235" i="39"/>
  <c r="CB235" i="39"/>
  <c r="CA235" i="39"/>
  <c r="BZ235" i="39"/>
  <c r="BY235" i="39"/>
  <c r="BX235" i="39"/>
  <c r="AP235" i="39"/>
  <c r="AO235" i="39"/>
  <c r="CJ234" i="39"/>
  <c r="CI234" i="39"/>
  <c r="CH234" i="39"/>
  <c r="CG234" i="39"/>
  <c r="CF234" i="39"/>
  <c r="CE234" i="39"/>
  <c r="CD234" i="39"/>
  <c r="CC234" i="39"/>
  <c r="CB234" i="39"/>
  <c r="CA234" i="39"/>
  <c r="BZ234" i="39"/>
  <c r="BY234" i="39"/>
  <c r="BX234" i="39"/>
  <c r="AP234" i="39"/>
  <c r="AO234" i="39"/>
  <c r="CJ233" i="39"/>
  <c r="CI233" i="39"/>
  <c r="CH233" i="39"/>
  <c r="CG233" i="39"/>
  <c r="CF233" i="39"/>
  <c r="CE233" i="39"/>
  <c r="CD233" i="39"/>
  <c r="CC233" i="39"/>
  <c r="CB233" i="39"/>
  <c r="CA233" i="39"/>
  <c r="BZ233" i="39"/>
  <c r="BY233" i="39"/>
  <c r="BX233" i="39"/>
  <c r="AP233" i="39"/>
  <c r="AO233" i="39"/>
  <c r="G34" i="68"/>
  <c r="G26" i="68"/>
  <c r="G25" i="68"/>
  <c r="CJ282" i="39"/>
  <c r="CI282" i="39"/>
  <c r="CH282" i="39"/>
  <c r="CG282" i="39"/>
  <c r="CF282" i="39"/>
  <c r="CE282" i="39"/>
  <c r="CD282" i="39"/>
  <c r="CC282" i="39"/>
  <c r="CB282" i="39"/>
  <c r="CA282" i="39"/>
  <c r="BZ282" i="39"/>
  <c r="BY282" i="39"/>
  <c r="BX282" i="39"/>
  <c r="AP282" i="39"/>
  <c r="AO282" i="39"/>
  <c r="BJ234" i="39"/>
  <c r="BJ233" i="39"/>
  <c r="BJ235" i="39"/>
  <c r="BJ282" i="39"/>
  <c r="CK233" i="39" l="1" a="1"/>
  <c r="CK233" i="39" s="1"/>
  <c r="Z233" i="39" s="1"/>
  <c r="CK235" i="39" a="1"/>
  <c r="CK235" i="39" s="1"/>
  <c r="Z235" i="39" s="1"/>
  <c r="CK234" i="39" a="1"/>
  <c r="CK234" i="39" s="1"/>
  <c r="Z234" i="39" s="1"/>
  <c r="CK282" i="39" a="1"/>
  <c r="CK282" i="39" s="1"/>
  <c r="Z282" i="39" s="1"/>
  <c r="G25" i="82"/>
  <c r="BM234" i="39"/>
  <c r="BN235" i="39"/>
  <c r="BT235" i="39"/>
  <c r="BU282" i="39"/>
  <c r="BQ282" i="39"/>
  <c r="BO233" i="39"/>
  <c r="BL235" i="39"/>
  <c r="BO234" i="39"/>
  <c r="BT234" i="39"/>
  <c r="BU234" i="39"/>
  <c r="BP282" i="39"/>
  <c r="BO235" i="39"/>
  <c r="BM233" i="39"/>
  <c r="BK235" i="39"/>
  <c r="BQ233" i="39"/>
  <c r="BR235" i="39"/>
  <c r="BN233" i="39"/>
  <c r="BK234" i="39"/>
  <c r="BM235" i="39"/>
  <c r="BL233" i="39"/>
  <c r="BS233" i="39"/>
  <c r="BL234" i="39"/>
  <c r="BS282" i="39"/>
  <c r="BT233" i="39"/>
  <c r="BS234" i="39"/>
  <c r="BR234" i="39"/>
  <c r="BR233" i="39"/>
  <c r="BV282" i="39"/>
  <c r="BK282" i="39"/>
  <c r="BL282" i="39"/>
  <c r="BM282" i="39"/>
  <c r="BQ235" i="39"/>
  <c r="BP233" i="39"/>
  <c r="BO282" i="39"/>
  <c r="BK233" i="39"/>
  <c r="BT282" i="39"/>
  <c r="BN282" i="39"/>
  <c r="BQ234" i="39"/>
  <c r="BS235" i="39"/>
  <c r="BP234" i="39"/>
  <c r="BR282" i="39"/>
  <c r="BU235" i="39"/>
  <c r="BN234" i="39"/>
  <c r="BV233" i="39"/>
  <c r="BV234" i="39"/>
  <c r="BP235" i="39"/>
  <c r="BV235" i="39"/>
  <c r="BU233" i="39"/>
  <c r="CJ92" i="39" l="1"/>
  <c r="CI92" i="39"/>
  <c r="CH92" i="39"/>
  <c r="CG92" i="39"/>
  <c r="CF92" i="39"/>
  <c r="CE92" i="39"/>
  <c r="CD92" i="39"/>
  <c r="CC92" i="39"/>
  <c r="CB92" i="39"/>
  <c r="CA92" i="39"/>
  <c r="BZ92" i="39"/>
  <c r="BY92" i="39"/>
  <c r="BX92" i="39"/>
  <c r="AP92" i="39"/>
  <c r="AO92" i="39"/>
  <c r="CJ91" i="39"/>
  <c r="CI91" i="39"/>
  <c r="CH91" i="39"/>
  <c r="CG91" i="39"/>
  <c r="CF91" i="39"/>
  <c r="CE91" i="39"/>
  <c r="CD91" i="39"/>
  <c r="CC91" i="39"/>
  <c r="CB91" i="39"/>
  <c r="CA91" i="39"/>
  <c r="BZ91" i="39"/>
  <c r="BY91" i="39"/>
  <c r="BX91" i="39"/>
  <c r="AP91" i="39"/>
  <c r="AO91" i="39"/>
  <c r="G39" i="47"/>
  <c r="G38" i="47"/>
  <c r="BJ91" i="39"/>
  <c r="BJ92" i="39"/>
  <c r="CK91" i="39" l="1" a="1"/>
  <c r="CK91" i="39" s="1"/>
  <c r="Z91" i="39" s="1"/>
  <c r="CK92" i="39" a="1"/>
  <c r="CK92" i="39" s="1"/>
  <c r="Z92" i="39" s="1"/>
  <c r="BT91" i="39"/>
  <c r="BM91" i="39"/>
  <c r="BQ91" i="39"/>
  <c r="BL92" i="39"/>
  <c r="BU91" i="39"/>
  <c r="BP92" i="39"/>
  <c r="BK91" i="39"/>
  <c r="BN91" i="39"/>
  <c r="BL91" i="39"/>
  <c r="BN92" i="39"/>
  <c r="BQ92" i="39"/>
  <c r="BT92" i="39"/>
  <c r="BK92" i="39"/>
  <c r="BS91" i="39"/>
  <c r="BP91" i="39"/>
  <c r="BM92" i="39"/>
  <c r="BO92" i="39"/>
  <c r="BU92" i="39"/>
  <c r="BO91" i="39"/>
  <c r="BR91" i="39"/>
  <c r="BR92" i="39"/>
  <c r="BV91" i="39"/>
  <c r="BS92" i="39"/>
  <c r="BV92" i="39"/>
  <c r="CJ75" i="39" l="1"/>
  <c r="CI75" i="39"/>
  <c r="CH75" i="39"/>
  <c r="CG75" i="39"/>
  <c r="CF75" i="39"/>
  <c r="CE75" i="39"/>
  <c r="CD75" i="39"/>
  <c r="CC75" i="39"/>
  <c r="CB75" i="39"/>
  <c r="CA75" i="39"/>
  <c r="BZ75" i="39"/>
  <c r="BY75" i="39"/>
  <c r="BX75" i="39"/>
  <c r="AP75" i="39"/>
  <c r="AO75" i="39"/>
  <c r="G34" i="41"/>
  <c r="CK75" i="39" l="1" a="1"/>
  <c r="CK75" i="39" s="1"/>
  <c r="Z75" i="39" s="1"/>
  <c r="CJ277" i="39" l="1"/>
  <c r="CI277" i="39"/>
  <c r="CH277" i="39"/>
  <c r="CG277" i="39"/>
  <c r="CF277" i="39"/>
  <c r="CE277" i="39"/>
  <c r="CD277" i="39"/>
  <c r="CC277" i="39"/>
  <c r="CB277" i="39"/>
  <c r="CA277" i="39"/>
  <c r="BZ277" i="39"/>
  <c r="BY277" i="39"/>
  <c r="BX277" i="39"/>
  <c r="AP277" i="39"/>
  <c r="AO277" i="39"/>
  <c r="G27" i="104"/>
  <c r="BJ277" i="39"/>
  <c r="CK277" i="39" l="1" a="1"/>
  <c r="CK277" i="39" s="1"/>
  <c r="Z277" i="39" s="1"/>
  <c r="CJ278" i="39"/>
  <c r="CI278" i="39"/>
  <c r="CH278" i="39"/>
  <c r="CG278" i="39"/>
  <c r="CF278" i="39"/>
  <c r="CE278" i="39"/>
  <c r="CD278" i="39"/>
  <c r="CC278" i="39"/>
  <c r="CB278" i="39"/>
  <c r="CA278" i="39"/>
  <c r="BZ278" i="39"/>
  <c r="BY278" i="39"/>
  <c r="BX278" i="39"/>
  <c r="AP278" i="39"/>
  <c r="AO278" i="39"/>
  <c r="CJ276" i="39"/>
  <c r="CI276" i="39"/>
  <c r="CH276" i="39"/>
  <c r="CG276" i="39"/>
  <c r="CF276" i="39"/>
  <c r="CE276" i="39"/>
  <c r="CD276" i="39"/>
  <c r="CC276" i="39"/>
  <c r="CB276" i="39"/>
  <c r="CA276" i="39"/>
  <c r="BZ276" i="39"/>
  <c r="BY276" i="39"/>
  <c r="BX276" i="39"/>
  <c r="AP276" i="39"/>
  <c r="AO276" i="39"/>
  <c r="CJ275" i="39"/>
  <c r="CI275" i="39"/>
  <c r="CH275" i="39"/>
  <c r="CG275" i="39"/>
  <c r="CF275" i="39"/>
  <c r="CE275" i="39"/>
  <c r="CD275" i="39"/>
  <c r="CC275" i="39"/>
  <c r="CB275" i="39"/>
  <c r="CA275" i="39"/>
  <c r="BZ275" i="39"/>
  <c r="BY275" i="39"/>
  <c r="BX275" i="39"/>
  <c r="AP275" i="39"/>
  <c r="AO275" i="39"/>
  <c r="CJ274" i="39"/>
  <c r="CI274" i="39"/>
  <c r="CH274" i="39"/>
  <c r="CG274" i="39"/>
  <c r="CF274" i="39"/>
  <c r="CE274" i="39"/>
  <c r="CD274" i="39"/>
  <c r="CC274" i="39"/>
  <c r="CB274" i="39"/>
  <c r="CA274" i="39"/>
  <c r="BZ274" i="39"/>
  <c r="BY274" i="39"/>
  <c r="BX274" i="39"/>
  <c r="AP274" i="39"/>
  <c r="AO274" i="39"/>
  <c r="CJ273" i="39"/>
  <c r="CI273" i="39"/>
  <c r="CH273" i="39"/>
  <c r="CG273" i="39"/>
  <c r="CF273" i="39"/>
  <c r="CE273" i="39"/>
  <c r="CD273" i="39"/>
  <c r="CC273" i="39"/>
  <c r="CB273" i="39"/>
  <c r="CA273" i="39"/>
  <c r="BZ273" i="39"/>
  <c r="BY273" i="39"/>
  <c r="BX273" i="39"/>
  <c r="AP273" i="39"/>
  <c r="AO273" i="39"/>
  <c r="AY272" i="39"/>
  <c r="I42" i="6" s="1"/>
  <c r="AP272" i="39"/>
  <c r="W42" i="6" s="1"/>
  <c r="AO272" i="39"/>
  <c r="B44" i="4"/>
  <c r="B36" i="55"/>
  <c r="N9" i="89"/>
  <c r="N8" i="89"/>
  <c r="N6" i="89"/>
  <c r="N3" i="89"/>
  <c r="N5" i="89" s="1"/>
  <c r="T42" i="6"/>
  <c r="Q42" i="6"/>
  <c r="O42" i="6"/>
  <c r="F42" i="6"/>
  <c r="AX272" i="39" s="1"/>
  <c r="G28" i="104"/>
  <c r="G26" i="104"/>
  <c r="G25" i="104"/>
  <c r="G24" i="104"/>
  <c r="G23" i="104"/>
  <c r="D2" i="104"/>
  <c r="BV277" i="39"/>
  <c r="BP277" i="39"/>
  <c r="BR277" i="39"/>
  <c r="BL277" i="39"/>
  <c r="BJ276" i="39"/>
  <c r="BN277" i="39"/>
  <c r="BJ273" i="39"/>
  <c r="BJ275" i="39"/>
  <c r="BM277" i="39"/>
  <c r="BO277" i="39"/>
  <c r="V42" i="6"/>
  <c r="BT277" i="39"/>
  <c r="BJ274" i="39"/>
  <c r="BK277" i="39"/>
  <c r="BU277" i="39"/>
  <c r="BQ277" i="39"/>
  <c r="BJ278" i="39"/>
  <c r="BS277" i="39"/>
  <c r="CK275" i="39" l="1" a="1"/>
  <c r="CK275" i="39" s="1"/>
  <c r="Z275" i="39" s="1"/>
  <c r="B272" i="39"/>
  <c r="CK273" i="39" a="1"/>
  <c r="CK273" i="39" s="1"/>
  <c r="Z273" i="39" s="1"/>
  <c r="CK278" i="39" a="1"/>
  <c r="CK278" i="39" s="1"/>
  <c r="Z278" i="39" s="1"/>
  <c r="CK276" i="39" a="1"/>
  <c r="CK276" i="39" s="1"/>
  <c r="Z276" i="39" s="1"/>
  <c r="CK274" i="39" a="1"/>
  <c r="CK274" i="39" s="1"/>
  <c r="Z274" i="39" s="1"/>
  <c r="N72" i="89"/>
  <c r="N74" i="89"/>
  <c r="N86" i="89" s="1"/>
  <c r="N56" i="89"/>
  <c r="N7" i="89"/>
  <c r="N40" i="89" s="1"/>
  <c r="N60" i="89"/>
  <c r="N48" i="89"/>
  <c r="N64" i="89"/>
  <c r="N52" i="89"/>
  <c r="N68" i="89"/>
  <c r="N90" i="89"/>
  <c r="N51" i="89"/>
  <c r="N55" i="89"/>
  <c r="N59" i="89"/>
  <c r="N63" i="89"/>
  <c r="N67" i="89"/>
  <c r="N71" i="89"/>
  <c r="N25" i="89"/>
  <c r="N33" i="89"/>
  <c r="N49" i="89"/>
  <c r="N53" i="89"/>
  <c r="N57" i="89"/>
  <c r="N61" i="89"/>
  <c r="N65" i="89"/>
  <c r="N69" i="89"/>
  <c r="N73" i="89"/>
  <c r="N26" i="89"/>
  <c r="N30" i="89"/>
  <c r="N46" i="89"/>
  <c r="N50" i="89"/>
  <c r="N54" i="89"/>
  <c r="N58" i="89"/>
  <c r="N62" i="89"/>
  <c r="N66" i="89"/>
  <c r="N70" i="89"/>
  <c r="J42" i="6"/>
  <c r="BP276" i="39"/>
  <c r="BK278" i="39"/>
  <c r="BN278" i="39"/>
  <c r="BS275" i="39"/>
  <c r="BT278" i="39"/>
  <c r="BM273" i="39"/>
  <c r="BV275" i="39"/>
  <c r="BU278" i="39"/>
  <c r="BT276" i="39"/>
  <c r="BM275" i="39"/>
  <c r="BL274" i="39"/>
  <c r="BL278" i="39"/>
  <c r="BS274" i="39"/>
  <c r="BS273" i="39"/>
  <c r="BO273" i="39"/>
  <c r="BQ278" i="39"/>
  <c r="BM278" i="39"/>
  <c r="BO276" i="39"/>
  <c r="BR273" i="39"/>
  <c r="BQ273" i="39"/>
  <c r="BL276" i="39"/>
  <c r="BU273" i="39"/>
  <c r="BS276" i="39"/>
  <c r="BM276" i="39"/>
  <c r="BP274" i="39"/>
  <c r="BQ275" i="39"/>
  <c r="BP273" i="39"/>
  <c r="BN276" i="39"/>
  <c r="BP278" i="39"/>
  <c r="BN273" i="39"/>
  <c r="BV274" i="39"/>
  <c r="BR274" i="39"/>
  <c r="BU276" i="39"/>
  <c r="BV276" i="39"/>
  <c r="BK276" i="39"/>
  <c r="BO274" i="39"/>
  <c r="BS278" i="39"/>
  <c r="BR276" i="39"/>
  <c r="BQ276" i="39"/>
  <c r="BR275" i="39"/>
  <c r="BV273" i="39"/>
  <c r="BU274" i="39"/>
  <c r="BK273" i="39"/>
  <c r="BM274" i="39"/>
  <c r="BQ274" i="39"/>
  <c r="BN274" i="39"/>
  <c r="BO278" i="39"/>
  <c r="BL273" i="39"/>
  <c r="BV278" i="39"/>
  <c r="BT274" i="39"/>
  <c r="BR278" i="39"/>
  <c r="BT275" i="39"/>
  <c r="BN275" i="39"/>
  <c r="BP275" i="39"/>
  <c r="BT273" i="39"/>
  <c r="BK275" i="39"/>
  <c r="BO275" i="39"/>
  <c r="BL275" i="39"/>
  <c r="BK274" i="39"/>
  <c r="BU275" i="39"/>
  <c r="N75" i="89" l="1"/>
  <c r="N20" i="89"/>
  <c r="N80" i="89"/>
  <c r="N27" i="89"/>
  <c r="N42" i="89"/>
  <c r="N22" i="89"/>
  <c r="N41" i="89"/>
  <c r="N21" i="89"/>
  <c r="N23" i="89"/>
  <c r="N38" i="89"/>
  <c r="N37" i="89"/>
  <c r="N36" i="89"/>
  <c r="N43" i="89"/>
  <c r="N24" i="89"/>
  <c r="N44" i="89"/>
  <c r="N39" i="89"/>
  <c r="G42" i="6"/>
  <c r="N77" i="89"/>
  <c r="N81" i="89"/>
  <c r="N87" i="89"/>
  <c r="N82" i="89"/>
  <c r="N76" i="89"/>
  <c r="N89" i="89"/>
  <c r="N79" i="89"/>
  <c r="N88" i="89"/>
  <c r="N78" i="89"/>
  <c r="N35" i="89"/>
  <c r="N19" i="89"/>
  <c r="N32" i="89"/>
  <c r="N34" i="89"/>
  <c r="N18" i="89"/>
  <c r="N45" i="89"/>
  <c r="N29" i="89"/>
  <c r="N28" i="89"/>
  <c r="N47" i="89"/>
  <c r="N31" i="89"/>
  <c r="N83" i="89"/>
  <c r="N84" i="89"/>
  <c r="N85" i="89"/>
  <c r="CJ191" i="39"/>
  <c r="CI191" i="39"/>
  <c r="CH191" i="39"/>
  <c r="CG191" i="39"/>
  <c r="CF191" i="39"/>
  <c r="CE191" i="39"/>
  <c r="CD191" i="39"/>
  <c r="CC191" i="39"/>
  <c r="CB191" i="39"/>
  <c r="CA191" i="39"/>
  <c r="BZ191" i="39"/>
  <c r="BY191" i="39"/>
  <c r="BX191" i="39"/>
  <c r="AP191" i="39"/>
  <c r="AO191" i="39"/>
  <c r="CJ190" i="39"/>
  <c r="CI190" i="39"/>
  <c r="CH190" i="39"/>
  <c r="CG190" i="39"/>
  <c r="CF190" i="39"/>
  <c r="CE190" i="39"/>
  <c r="CD190" i="39"/>
  <c r="CC190" i="39"/>
  <c r="CB190" i="39"/>
  <c r="CA190" i="39"/>
  <c r="BZ190" i="39"/>
  <c r="BY190" i="39"/>
  <c r="BX190" i="39"/>
  <c r="AP190" i="39"/>
  <c r="AO190" i="39"/>
  <c r="CJ188" i="39"/>
  <c r="CI188" i="39"/>
  <c r="CH188" i="39"/>
  <c r="CG188" i="39"/>
  <c r="CF188" i="39"/>
  <c r="CE188" i="39"/>
  <c r="CD188" i="39"/>
  <c r="CC188" i="39"/>
  <c r="CB188" i="39"/>
  <c r="CA188" i="39"/>
  <c r="BZ188" i="39"/>
  <c r="BY188" i="39"/>
  <c r="BX188" i="39"/>
  <c r="AP188" i="39"/>
  <c r="AO188" i="39"/>
  <c r="CJ187" i="39"/>
  <c r="CI187" i="39"/>
  <c r="CH187" i="39"/>
  <c r="CG187" i="39"/>
  <c r="CF187" i="39"/>
  <c r="CE187" i="39"/>
  <c r="CD187" i="39"/>
  <c r="CC187" i="39"/>
  <c r="CB187" i="39"/>
  <c r="CA187" i="39"/>
  <c r="BZ187" i="39"/>
  <c r="BY187" i="39"/>
  <c r="BX187" i="39"/>
  <c r="AP187" i="39"/>
  <c r="AO187" i="39"/>
  <c r="G44" i="52"/>
  <c r="G49" i="52"/>
  <c r="G30" i="52"/>
  <c r="G29" i="52"/>
  <c r="BJ187" i="39"/>
  <c r="BJ190" i="39"/>
  <c r="BJ188" i="39"/>
  <c r="BJ191" i="39"/>
  <c r="CK188" i="39" l="1" a="1"/>
  <c r="CK188" i="39" s="1"/>
  <c r="Z188" i="39" s="1"/>
  <c r="CK187" i="39" a="1"/>
  <c r="CK187" i="39" s="1"/>
  <c r="Z187" i="39" s="1"/>
  <c r="CK191" i="39" a="1"/>
  <c r="CK191" i="39" s="1"/>
  <c r="Z191" i="39" s="1"/>
  <c r="CK190" i="39" a="1"/>
  <c r="CK190" i="39" s="1"/>
  <c r="Z190" i="39" s="1"/>
  <c r="G25" i="45"/>
  <c r="G23" i="45"/>
  <c r="BV191" i="39"/>
  <c r="BQ191" i="39"/>
  <c r="BV190" i="39"/>
  <c r="BR188" i="39"/>
  <c r="BR191" i="39"/>
  <c r="BR190" i="39"/>
  <c r="BK187" i="39"/>
  <c r="BL190" i="39"/>
  <c r="BM187" i="39"/>
  <c r="BL188" i="39"/>
  <c r="BK191" i="39"/>
  <c r="BN188" i="39"/>
  <c r="BO190" i="39"/>
  <c r="BS191" i="39"/>
  <c r="BN191" i="39"/>
  <c r="BP191" i="39"/>
  <c r="BO191" i="39"/>
  <c r="BN190" i="39"/>
  <c r="BT190" i="39"/>
  <c r="BP190" i="39"/>
  <c r="BU191" i="39"/>
  <c r="BK190" i="39"/>
  <c r="BS187" i="39"/>
  <c r="BP187" i="39"/>
  <c r="BQ188" i="39"/>
  <c r="BN187" i="39"/>
  <c r="BS188" i="39"/>
  <c r="BL187" i="39"/>
  <c r="BR187" i="39"/>
  <c r="BM191" i="39"/>
  <c r="BS190" i="39"/>
  <c r="BQ190" i="39"/>
  <c r="BU187" i="39"/>
  <c r="BM190" i="39"/>
  <c r="BL191" i="39"/>
  <c r="BV188" i="39"/>
  <c r="BQ187" i="39"/>
  <c r="BM188" i="39"/>
  <c r="BT191" i="39"/>
  <c r="BP188" i="39"/>
  <c r="BT187" i="39"/>
  <c r="BU188" i="39"/>
  <c r="BO188" i="39"/>
  <c r="BU190" i="39"/>
  <c r="BT188" i="39"/>
  <c r="BK188" i="39"/>
  <c r="BO187" i="39"/>
  <c r="BV187" i="39"/>
  <c r="CJ110" i="39" l="1"/>
  <c r="CI110" i="39"/>
  <c r="CH110" i="39"/>
  <c r="CG110" i="39"/>
  <c r="CF110" i="39"/>
  <c r="CE110" i="39"/>
  <c r="CD110" i="39"/>
  <c r="CC110" i="39"/>
  <c r="CB110" i="39"/>
  <c r="CA110" i="39"/>
  <c r="BZ110" i="39"/>
  <c r="BY110" i="39"/>
  <c r="BX110" i="39"/>
  <c r="AP110" i="39"/>
  <c r="AO110" i="39"/>
  <c r="CJ108" i="39"/>
  <c r="CI108" i="39"/>
  <c r="CH108" i="39"/>
  <c r="CG108" i="39"/>
  <c r="CF108" i="39"/>
  <c r="CE108" i="39"/>
  <c r="CD108" i="39"/>
  <c r="CC108" i="39"/>
  <c r="CB108" i="39"/>
  <c r="CA108" i="39"/>
  <c r="BZ108" i="39"/>
  <c r="BY108" i="39"/>
  <c r="BX108" i="39"/>
  <c r="AP108" i="39"/>
  <c r="AO108" i="39"/>
  <c r="CJ111" i="39"/>
  <c r="CI111" i="39"/>
  <c r="CH111" i="39"/>
  <c r="CG111" i="39"/>
  <c r="CF111" i="39"/>
  <c r="CE111" i="39"/>
  <c r="CD111" i="39"/>
  <c r="CC111" i="39"/>
  <c r="CB111" i="39"/>
  <c r="CA111" i="39"/>
  <c r="BZ111" i="39"/>
  <c r="BY111" i="39"/>
  <c r="BX111" i="39"/>
  <c r="AP111" i="39"/>
  <c r="AO111" i="39"/>
  <c r="CJ109" i="39"/>
  <c r="CI109" i="39"/>
  <c r="CH109" i="39"/>
  <c r="CG109" i="39"/>
  <c r="CF109" i="39"/>
  <c r="CE109" i="39"/>
  <c r="CD109" i="39"/>
  <c r="CC109" i="39"/>
  <c r="CB109" i="39"/>
  <c r="CA109" i="39"/>
  <c r="BZ109" i="39"/>
  <c r="BY109" i="39"/>
  <c r="BX109" i="39"/>
  <c r="AP109" i="39"/>
  <c r="AO109" i="39"/>
  <c r="G29" i="92"/>
  <c r="G28" i="92"/>
  <c r="G27" i="92"/>
  <c r="G25" i="92"/>
  <c r="G26" i="92"/>
  <c r="CJ78" i="39"/>
  <c r="CI78" i="39"/>
  <c r="CH78" i="39"/>
  <c r="CG78" i="39"/>
  <c r="CF78" i="39"/>
  <c r="CE78" i="39"/>
  <c r="CD78" i="39"/>
  <c r="CC78" i="39"/>
  <c r="CB78" i="39"/>
  <c r="CA78" i="39"/>
  <c r="BZ78" i="39"/>
  <c r="BY78" i="39"/>
  <c r="BX78" i="39"/>
  <c r="AP78" i="39"/>
  <c r="AO78" i="39"/>
  <c r="CJ77" i="39"/>
  <c r="CI77" i="39"/>
  <c r="CH77" i="39"/>
  <c r="CG77" i="39"/>
  <c r="CF77" i="39"/>
  <c r="CE77" i="39"/>
  <c r="CD77" i="39"/>
  <c r="CC77" i="39"/>
  <c r="CB77" i="39"/>
  <c r="CA77" i="39"/>
  <c r="BZ77" i="39"/>
  <c r="BY77" i="39"/>
  <c r="BX77" i="39"/>
  <c r="AP77" i="39"/>
  <c r="AO77" i="39"/>
  <c r="G32" i="41"/>
  <c r="G31" i="41"/>
  <c r="CJ262" i="39"/>
  <c r="CI262" i="39"/>
  <c r="CH262" i="39"/>
  <c r="CG262" i="39"/>
  <c r="CF262" i="39"/>
  <c r="CE262" i="39"/>
  <c r="CD262" i="39"/>
  <c r="CC262" i="39"/>
  <c r="CB262" i="39"/>
  <c r="CA262" i="39"/>
  <c r="BZ262" i="39"/>
  <c r="BY262" i="39"/>
  <c r="BX262" i="39"/>
  <c r="AP262" i="39"/>
  <c r="AO262" i="39"/>
  <c r="CJ318" i="39"/>
  <c r="CI318" i="39"/>
  <c r="CH318" i="39"/>
  <c r="CG318" i="39"/>
  <c r="CF318" i="39"/>
  <c r="CE318" i="39"/>
  <c r="CD318" i="39"/>
  <c r="CC318" i="39"/>
  <c r="CB318" i="39"/>
  <c r="CA318" i="39"/>
  <c r="BZ318" i="39"/>
  <c r="BY318" i="39"/>
  <c r="BX318" i="39"/>
  <c r="AP318" i="39"/>
  <c r="AO318" i="39"/>
  <c r="G32" i="53"/>
  <c r="CJ339" i="39"/>
  <c r="CI339" i="39"/>
  <c r="CH339" i="39"/>
  <c r="CG339" i="39"/>
  <c r="CF339" i="39"/>
  <c r="CE339" i="39"/>
  <c r="CD339" i="39"/>
  <c r="CC339" i="39"/>
  <c r="CB339" i="39"/>
  <c r="CA339" i="39"/>
  <c r="BZ339" i="39"/>
  <c r="BY339" i="39"/>
  <c r="BX339" i="39"/>
  <c r="AP339" i="39"/>
  <c r="AO339" i="39"/>
  <c r="CJ336" i="39"/>
  <c r="CI336" i="39"/>
  <c r="CH336" i="39"/>
  <c r="CG336" i="39"/>
  <c r="CF336" i="39"/>
  <c r="CE336" i="39"/>
  <c r="CD336" i="39"/>
  <c r="CC336" i="39"/>
  <c r="CB336" i="39"/>
  <c r="CA336" i="39"/>
  <c r="BZ336" i="39"/>
  <c r="BY336" i="39"/>
  <c r="BX336" i="39"/>
  <c r="AP336" i="39"/>
  <c r="AO336" i="39"/>
  <c r="CJ43" i="39"/>
  <c r="CI43" i="39"/>
  <c r="CH43" i="39"/>
  <c r="CG43" i="39"/>
  <c r="CF43" i="39"/>
  <c r="CE43" i="39"/>
  <c r="CD43" i="39"/>
  <c r="CC43" i="39"/>
  <c r="CB43" i="39"/>
  <c r="CA43" i="39"/>
  <c r="BZ43" i="39"/>
  <c r="BY43" i="39"/>
  <c r="BX43" i="39"/>
  <c r="AP43" i="39"/>
  <c r="AO43" i="39"/>
  <c r="CJ42" i="39"/>
  <c r="CI42" i="39"/>
  <c r="CH42" i="39"/>
  <c r="CG42" i="39"/>
  <c r="CF42" i="39"/>
  <c r="CE42" i="39"/>
  <c r="CD42" i="39"/>
  <c r="CC42" i="39"/>
  <c r="CB42" i="39"/>
  <c r="CA42" i="39"/>
  <c r="BZ42" i="39"/>
  <c r="BY42" i="39"/>
  <c r="BX42" i="39"/>
  <c r="AP42" i="39"/>
  <c r="AO42" i="39"/>
  <c r="CJ41" i="39"/>
  <c r="CI41" i="39"/>
  <c r="CH41" i="39"/>
  <c r="CG41" i="39"/>
  <c r="CF41" i="39"/>
  <c r="CE41" i="39"/>
  <c r="CD41" i="39"/>
  <c r="CC41" i="39"/>
  <c r="CB41" i="39"/>
  <c r="CA41" i="39"/>
  <c r="BZ41" i="39"/>
  <c r="BY41" i="39"/>
  <c r="BX41" i="39"/>
  <c r="AP41" i="39"/>
  <c r="AO41" i="39"/>
  <c r="CJ40" i="39"/>
  <c r="CI40" i="39"/>
  <c r="CH40" i="39"/>
  <c r="CG40" i="39"/>
  <c r="CF40" i="39"/>
  <c r="CE40" i="39"/>
  <c r="CD40" i="39"/>
  <c r="CC40" i="39"/>
  <c r="CB40" i="39"/>
  <c r="CA40" i="39"/>
  <c r="BZ40" i="39"/>
  <c r="BY40" i="39"/>
  <c r="BX40" i="39"/>
  <c r="AP40" i="39"/>
  <c r="AO40" i="39"/>
  <c r="G29" i="97"/>
  <c r="G28" i="97"/>
  <c r="G24" i="66"/>
  <c r="G25" i="66"/>
  <c r="B39" i="55"/>
  <c r="CJ303" i="39"/>
  <c r="CI303" i="39"/>
  <c r="CH303" i="39"/>
  <c r="CG303" i="39"/>
  <c r="CF303" i="39"/>
  <c r="CE303" i="39"/>
  <c r="CD303" i="39"/>
  <c r="CC303" i="39"/>
  <c r="CB303" i="39"/>
  <c r="CA303" i="39"/>
  <c r="BZ303" i="39"/>
  <c r="BY303" i="39"/>
  <c r="BX303" i="39"/>
  <c r="AP303" i="39"/>
  <c r="AO303" i="39"/>
  <c r="CJ302" i="39"/>
  <c r="CI302" i="39"/>
  <c r="CH302" i="39"/>
  <c r="CG302" i="39"/>
  <c r="CF302" i="39"/>
  <c r="CE302" i="39"/>
  <c r="CD302" i="39"/>
  <c r="CC302" i="39"/>
  <c r="CB302" i="39"/>
  <c r="CA302" i="39"/>
  <c r="BZ302" i="39"/>
  <c r="BY302" i="39"/>
  <c r="BX302" i="39"/>
  <c r="AP302" i="39"/>
  <c r="AO302" i="39"/>
  <c r="CJ301" i="39"/>
  <c r="CI301" i="39"/>
  <c r="CH301" i="39"/>
  <c r="CG301" i="39"/>
  <c r="CF301" i="39"/>
  <c r="CE301" i="39"/>
  <c r="CD301" i="39"/>
  <c r="CC301" i="39"/>
  <c r="CB301" i="39"/>
  <c r="CA301" i="39"/>
  <c r="BZ301" i="39"/>
  <c r="BY301" i="39"/>
  <c r="BX301" i="39"/>
  <c r="AP301" i="39"/>
  <c r="AO301" i="39"/>
  <c r="CJ300" i="39"/>
  <c r="CI300" i="39"/>
  <c r="CH300" i="39"/>
  <c r="CG300" i="39"/>
  <c r="CF300" i="39"/>
  <c r="CE300" i="39"/>
  <c r="CD300" i="39"/>
  <c r="CC300" i="39"/>
  <c r="CB300" i="39"/>
  <c r="CA300" i="39"/>
  <c r="BZ300" i="39"/>
  <c r="BY300" i="39"/>
  <c r="BX300" i="39"/>
  <c r="AP300" i="39"/>
  <c r="AO300" i="39"/>
  <c r="CJ299" i="39"/>
  <c r="CI299" i="39"/>
  <c r="CH299" i="39"/>
  <c r="CG299" i="39"/>
  <c r="CF299" i="39"/>
  <c r="CE299" i="39"/>
  <c r="CD299" i="39"/>
  <c r="CC299" i="39"/>
  <c r="CB299" i="39"/>
  <c r="CA299" i="39"/>
  <c r="BZ299" i="39"/>
  <c r="BY299" i="39"/>
  <c r="BX299" i="39"/>
  <c r="AP299" i="39"/>
  <c r="AO299" i="39"/>
  <c r="CJ298" i="39"/>
  <c r="CI298" i="39"/>
  <c r="CH298" i="39"/>
  <c r="CG298" i="39"/>
  <c r="CF298" i="39"/>
  <c r="CE298" i="39"/>
  <c r="CD298" i="39"/>
  <c r="CC298" i="39"/>
  <c r="CB298" i="39"/>
  <c r="CA298" i="39"/>
  <c r="BZ298" i="39"/>
  <c r="BY298" i="39"/>
  <c r="BX298" i="39"/>
  <c r="AP298" i="39"/>
  <c r="AO298" i="39"/>
  <c r="AY297" i="39"/>
  <c r="I46" i="6" s="1"/>
  <c r="AP297" i="39"/>
  <c r="W46" i="6" s="1"/>
  <c r="AO297" i="39"/>
  <c r="B48" i="4"/>
  <c r="R8" i="89"/>
  <c r="R73" i="89" s="1"/>
  <c r="R6" i="89"/>
  <c r="R3" i="89"/>
  <c r="R5" i="89" s="1"/>
  <c r="T46" i="6"/>
  <c r="Q46" i="6"/>
  <c r="O46" i="6"/>
  <c r="F46" i="6"/>
  <c r="G28" i="103"/>
  <c r="G27" i="103"/>
  <c r="G26" i="103"/>
  <c r="G25" i="103"/>
  <c r="G24" i="103"/>
  <c r="G23" i="103"/>
  <c r="D2" i="103"/>
  <c r="G27" i="97"/>
  <c r="G26" i="97"/>
  <c r="CJ222" i="39"/>
  <c r="CI222" i="39"/>
  <c r="CH222" i="39"/>
  <c r="CG222" i="39"/>
  <c r="CF222" i="39"/>
  <c r="CE222" i="39"/>
  <c r="CD222" i="39"/>
  <c r="CC222" i="39"/>
  <c r="CB222" i="39"/>
  <c r="CA222" i="39"/>
  <c r="BZ222" i="39"/>
  <c r="BY222" i="39"/>
  <c r="BX222" i="39"/>
  <c r="AP222" i="39"/>
  <c r="AO222" i="39"/>
  <c r="CJ220" i="39"/>
  <c r="CI220" i="39"/>
  <c r="CH220" i="39"/>
  <c r="CG220" i="39"/>
  <c r="CF220" i="39"/>
  <c r="CE220" i="39"/>
  <c r="CD220" i="39"/>
  <c r="CC220" i="39"/>
  <c r="CB220" i="39"/>
  <c r="CA220" i="39"/>
  <c r="BZ220" i="39"/>
  <c r="BY220" i="39"/>
  <c r="BX220" i="39"/>
  <c r="AP220" i="39"/>
  <c r="AO220" i="39"/>
  <c r="CJ218" i="39"/>
  <c r="CI218" i="39"/>
  <c r="CH218" i="39"/>
  <c r="CG218" i="39"/>
  <c r="CF218" i="39"/>
  <c r="CE218" i="39"/>
  <c r="CD218" i="39"/>
  <c r="CC218" i="39"/>
  <c r="CB218" i="39"/>
  <c r="CA218" i="39"/>
  <c r="BZ218" i="39"/>
  <c r="BY218" i="39"/>
  <c r="BX218" i="39"/>
  <c r="AP218" i="39"/>
  <c r="AO218" i="39"/>
  <c r="CJ224" i="39"/>
  <c r="CI224" i="39"/>
  <c r="CH224" i="39"/>
  <c r="CG224" i="39"/>
  <c r="CF224" i="39"/>
  <c r="CE224" i="39"/>
  <c r="CD224" i="39"/>
  <c r="CC224" i="39"/>
  <c r="CB224" i="39"/>
  <c r="CA224" i="39"/>
  <c r="BZ224" i="39"/>
  <c r="BY224" i="39"/>
  <c r="BX224" i="39"/>
  <c r="AP224" i="39"/>
  <c r="AO224" i="39"/>
  <c r="CJ219" i="39"/>
  <c r="CI219" i="39"/>
  <c r="CH219" i="39"/>
  <c r="CG219" i="39"/>
  <c r="CF219" i="39"/>
  <c r="CE219" i="39"/>
  <c r="CD219" i="39"/>
  <c r="CC219" i="39"/>
  <c r="CB219" i="39"/>
  <c r="CA219" i="39"/>
  <c r="BZ219" i="39"/>
  <c r="BY219" i="39"/>
  <c r="BX219" i="39"/>
  <c r="AP219" i="39"/>
  <c r="AO219" i="39"/>
  <c r="CJ217" i="39"/>
  <c r="CI217" i="39"/>
  <c r="CH217" i="39"/>
  <c r="CG217" i="39"/>
  <c r="CF217" i="39"/>
  <c r="CE217" i="39"/>
  <c r="CD217" i="39"/>
  <c r="CC217" i="39"/>
  <c r="CB217" i="39"/>
  <c r="CA217" i="39"/>
  <c r="BZ217" i="39"/>
  <c r="BY217" i="39"/>
  <c r="BX217" i="39"/>
  <c r="AP217" i="39"/>
  <c r="AO217" i="39"/>
  <c r="CJ223" i="39"/>
  <c r="CI223" i="39"/>
  <c r="CH223" i="39"/>
  <c r="CG223" i="39"/>
  <c r="CF223" i="39"/>
  <c r="CE223" i="39"/>
  <c r="CD223" i="39"/>
  <c r="CC223" i="39"/>
  <c r="CB223" i="39"/>
  <c r="CA223" i="39"/>
  <c r="BZ223" i="39"/>
  <c r="BY223" i="39"/>
  <c r="BX223" i="39"/>
  <c r="AP223" i="39"/>
  <c r="AO223" i="39"/>
  <c r="CJ221" i="39"/>
  <c r="CI221" i="39"/>
  <c r="CH221" i="39"/>
  <c r="CG221" i="39"/>
  <c r="CF221" i="39"/>
  <c r="CE221" i="39"/>
  <c r="CD221" i="39"/>
  <c r="CC221" i="39"/>
  <c r="CB221" i="39"/>
  <c r="CA221" i="39"/>
  <c r="BZ221" i="39"/>
  <c r="BY221" i="39"/>
  <c r="BX221" i="39"/>
  <c r="AP221" i="39"/>
  <c r="AO221" i="39"/>
  <c r="CJ215" i="39"/>
  <c r="CI215" i="39"/>
  <c r="CH215" i="39"/>
  <c r="CG215" i="39"/>
  <c r="CF215" i="39"/>
  <c r="CE215" i="39"/>
  <c r="CD215" i="39"/>
  <c r="CC215" i="39"/>
  <c r="CB215" i="39"/>
  <c r="CA215" i="39"/>
  <c r="BZ215" i="39"/>
  <c r="BY215" i="39"/>
  <c r="BX215" i="39"/>
  <c r="AP215" i="39"/>
  <c r="AO215" i="39"/>
  <c r="CJ225" i="39"/>
  <c r="CI225" i="39"/>
  <c r="CH225" i="39"/>
  <c r="CG225" i="39"/>
  <c r="CF225" i="39"/>
  <c r="CE225" i="39"/>
  <c r="CD225" i="39"/>
  <c r="CC225" i="39"/>
  <c r="CB225" i="39"/>
  <c r="CA225" i="39"/>
  <c r="BZ225" i="39"/>
  <c r="BY225" i="39"/>
  <c r="BX225" i="39"/>
  <c r="AP225" i="39"/>
  <c r="AO225" i="39"/>
  <c r="CJ214" i="39"/>
  <c r="CI214" i="39"/>
  <c r="CH214" i="39"/>
  <c r="CG214" i="39"/>
  <c r="CF214" i="39"/>
  <c r="CE214" i="39"/>
  <c r="CD214" i="39"/>
  <c r="CC214" i="39"/>
  <c r="CB214" i="39"/>
  <c r="CA214" i="39"/>
  <c r="BZ214" i="39"/>
  <c r="BY214" i="39"/>
  <c r="BX214" i="39"/>
  <c r="AP214" i="39"/>
  <c r="AO214" i="39"/>
  <c r="G38" i="60"/>
  <c r="G36" i="60"/>
  <c r="G35" i="60"/>
  <c r="G33" i="60"/>
  <c r="G37" i="60"/>
  <c r="G32" i="60"/>
  <c r="G30" i="60"/>
  <c r="G34" i="60"/>
  <c r="G31" i="60"/>
  <c r="G29" i="60"/>
  <c r="G28" i="60"/>
  <c r="G27" i="60"/>
  <c r="CJ107" i="39"/>
  <c r="CI107" i="39"/>
  <c r="CH107" i="39"/>
  <c r="CG107" i="39"/>
  <c r="CF107" i="39"/>
  <c r="CE107" i="39"/>
  <c r="CD107" i="39"/>
  <c r="CC107" i="39"/>
  <c r="CB107" i="39"/>
  <c r="CA107" i="39"/>
  <c r="BZ107" i="39"/>
  <c r="BY107" i="39"/>
  <c r="BX107" i="39"/>
  <c r="AP107" i="39"/>
  <c r="AO107" i="39"/>
  <c r="G26" i="66"/>
  <c r="B26" i="4"/>
  <c r="BX66" i="39"/>
  <c r="BX65" i="39"/>
  <c r="BX64" i="39"/>
  <c r="CJ338" i="39"/>
  <c r="CI338" i="39"/>
  <c r="CH338" i="39"/>
  <c r="CG338" i="39"/>
  <c r="CF338" i="39"/>
  <c r="CE338" i="39"/>
  <c r="CD338" i="39"/>
  <c r="CC338" i="39"/>
  <c r="CB338" i="39"/>
  <c r="CA338" i="39"/>
  <c r="BZ338" i="39"/>
  <c r="BY338" i="39"/>
  <c r="BX338" i="39"/>
  <c r="AP338" i="39"/>
  <c r="AO338" i="39"/>
  <c r="CJ335" i="39"/>
  <c r="CI335" i="39"/>
  <c r="CH335" i="39"/>
  <c r="CG335" i="39"/>
  <c r="CF335" i="39"/>
  <c r="CE335" i="39"/>
  <c r="CD335" i="39"/>
  <c r="CC335" i="39"/>
  <c r="CB335" i="39"/>
  <c r="CA335" i="39"/>
  <c r="BZ335" i="39"/>
  <c r="BY335" i="39"/>
  <c r="BX335" i="39"/>
  <c r="AP335" i="39"/>
  <c r="AO335" i="39"/>
  <c r="CJ334" i="39"/>
  <c r="CI334" i="39"/>
  <c r="CH334" i="39"/>
  <c r="CG334" i="39"/>
  <c r="CF334" i="39"/>
  <c r="CE334" i="39"/>
  <c r="CD334" i="39"/>
  <c r="CC334" i="39"/>
  <c r="CB334" i="39"/>
  <c r="CA334" i="39"/>
  <c r="BZ334" i="39"/>
  <c r="BY334" i="39"/>
  <c r="BX334" i="39"/>
  <c r="AP334" i="39"/>
  <c r="AO334" i="39"/>
  <c r="CJ332" i="39"/>
  <c r="CI332" i="39"/>
  <c r="CH332" i="39"/>
  <c r="CG332" i="39"/>
  <c r="CF332" i="39"/>
  <c r="CE332" i="39"/>
  <c r="CD332" i="39"/>
  <c r="CC332" i="39"/>
  <c r="CB332" i="39"/>
  <c r="CA332" i="39"/>
  <c r="BZ332" i="39"/>
  <c r="BY332" i="39"/>
  <c r="BX332" i="39"/>
  <c r="AP332" i="39"/>
  <c r="AO332" i="39"/>
  <c r="G33" i="97"/>
  <c r="G32" i="97"/>
  <c r="G31" i="97"/>
  <c r="G30" i="97"/>
  <c r="G26" i="82"/>
  <c r="G24" i="82"/>
  <c r="CJ172" i="39"/>
  <c r="CI172" i="39"/>
  <c r="CH172" i="39"/>
  <c r="CG172" i="39"/>
  <c r="CF172" i="39"/>
  <c r="CE172" i="39"/>
  <c r="CD172" i="39"/>
  <c r="CC172" i="39"/>
  <c r="CB172" i="39"/>
  <c r="CA172" i="39"/>
  <c r="BZ172" i="39"/>
  <c r="BY172" i="39"/>
  <c r="BX172" i="39"/>
  <c r="AP172" i="39"/>
  <c r="AO172" i="39"/>
  <c r="G30" i="76"/>
  <c r="G24" i="76"/>
  <c r="B33" i="55"/>
  <c r="CJ337" i="39"/>
  <c r="CI337" i="39"/>
  <c r="CH337" i="39"/>
  <c r="CG337" i="39"/>
  <c r="CF337" i="39"/>
  <c r="CE337" i="39"/>
  <c r="CD337" i="39"/>
  <c r="CC337" i="39"/>
  <c r="CB337" i="39"/>
  <c r="CA337" i="39"/>
  <c r="BZ337" i="39"/>
  <c r="BY337" i="39"/>
  <c r="BX337" i="39"/>
  <c r="AP337" i="39"/>
  <c r="AO337" i="39"/>
  <c r="CJ331" i="39"/>
  <c r="CI331" i="39"/>
  <c r="CH331" i="39"/>
  <c r="CG331" i="39"/>
  <c r="CF331" i="39"/>
  <c r="CE331" i="39"/>
  <c r="CD331" i="39"/>
  <c r="CC331" i="39"/>
  <c r="CB331" i="39"/>
  <c r="CA331" i="39"/>
  <c r="BZ331" i="39"/>
  <c r="BY331" i="39"/>
  <c r="BX331" i="39"/>
  <c r="AP331" i="39"/>
  <c r="AO331" i="39"/>
  <c r="CJ330" i="39"/>
  <c r="CI330" i="39"/>
  <c r="CH330" i="39"/>
  <c r="CG330" i="39"/>
  <c r="CF330" i="39"/>
  <c r="CE330" i="39"/>
  <c r="CD330" i="39"/>
  <c r="CC330" i="39"/>
  <c r="CB330" i="39"/>
  <c r="CA330" i="39"/>
  <c r="BZ330" i="39"/>
  <c r="BY330" i="39"/>
  <c r="BX330" i="39"/>
  <c r="AP330" i="39"/>
  <c r="AO330" i="39"/>
  <c r="CJ333" i="39"/>
  <c r="CI333" i="39"/>
  <c r="CH333" i="39"/>
  <c r="CG333" i="39"/>
  <c r="CF333" i="39"/>
  <c r="CE333" i="39"/>
  <c r="CD333" i="39"/>
  <c r="CC333" i="39"/>
  <c r="CB333" i="39"/>
  <c r="CA333" i="39"/>
  <c r="BZ333" i="39"/>
  <c r="BY333" i="39"/>
  <c r="BX333" i="39"/>
  <c r="AP333" i="39"/>
  <c r="AO333" i="39"/>
  <c r="CJ329" i="39"/>
  <c r="CI329" i="39"/>
  <c r="CH329" i="39"/>
  <c r="CG329" i="39"/>
  <c r="CF329" i="39"/>
  <c r="CE329" i="39"/>
  <c r="CD329" i="39"/>
  <c r="CC329" i="39"/>
  <c r="CB329" i="39"/>
  <c r="CA329" i="39"/>
  <c r="BZ329" i="39"/>
  <c r="BY329" i="39"/>
  <c r="BX329" i="39"/>
  <c r="AP329" i="39"/>
  <c r="AO329" i="39"/>
  <c r="G34" i="97"/>
  <c r="G35" i="97"/>
  <c r="G25" i="97"/>
  <c r="G24" i="97"/>
  <c r="G23" i="97"/>
  <c r="D2" i="97"/>
  <c r="G25" i="96"/>
  <c r="G24" i="96"/>
  <c r="G23" i="96"/>
  <c r="D2" i="96"/>
  <c r="CJ44" i="39"/>
  <c r="CI44" i="39"/>
  <c r="CH44" i="39"/>
  <c r="CG44" i="39"/>
  <c r="CF44" i="39"/>
  <c r="CE44" i="39"/>
  <c r="CD44" i="39"/>
  <c r="CC44" i="39"/>
  <c r="CB44" i="39"/>
  <c r="CA44" i="39"/>
  <c r="BZ44" i="39"/>
  <c r="BY44" i="39"/>
  <c r="BX44" i="39"/>
  <c r="AP44" i="39"/>
  <c r="AO44" i="39"/>
  <c r="CJ38" i="39"/>
  <c r="CI38" i="39"/>
  <c r="CH38" i="39"/>
  <c r="CG38" i="39"/>
  <c r="CF38" i="39"/>
  <c r="CE38" i="39"/>
  <c r="CD38" i="39"/>
  <c r="CC38" i="39"/>
  <c r="CB38" i="39"/>
  <c r="CA38" i="39"/>
  <c r="BZ38" i="39"/>
  <c r="BY38" i="39"/>
  <c r="BX38" i="39"/>
  <c r="AP38" i="39"/>
  <c r="AO38" i="39"/>
  <c r="G47" i="42"/>
  <c r="G46" i="42"/>
  <c r="G29" i="85"/>
  <c r="G25" i="85"/>
  <c r="G24" i="85"/>
  <c r="G23" i="85"/>
  <c r="CJ246" i="39"/>
  <c r="CI246" i="39"/>
  <c r="CH246" i="39"/>
  <c r="CG246" i="39"/>
  <c r="CF246" i="39"/>
  <c r="CE246" i="39"/>
  <c r="CD246" i="39"/>
  <c r="CC246" i="39"/>
  <c r="CB246" i="39"/>
  <c r="CA246" i="39"/>
  <c r="BZ246" i="39"/>
  <c r="BY246" i="39"/>
  <c r="BX246" i="39"/>
  <c r="AP246" i="39"/>
  <c r="AO246" i="39"/>
  <c r="CJ192" i="39"/>
  <c r="CI192" i="39"/>
  <c r="CH192" i="39"/>
  <c r="CG192" i="39"/>
  <c r="CF192" i="39"/>
  <c r="CE192" i="39"/>
  <c r="CD192" i="39"/>
  <c r="CC192" i="39"/>
  <c r="CB192" i="39"/>
  <c r="CA192" i="39"/>
  <c r="BZ192" i="39"/>
  <c r="BY192" i="39"/>
  <c r="BX192" i="39"/>
  <c r="AP192" i="39"/>
  <c r="AO192" i="39"/>
  <c r="G48" i="52"/>
  <c r="G24" i="51"/>
  <c r="CJ321" i="39"/>
  <c r="CI321" i="39"/>
  <c r="CH321" i="39"/>
  <c r="CG321" i="39"/>
  <c r="CF321" i="39"/>
  <c r="CE321" i="39"/>
  <c r="CD321" i="39"/>
  <c r="CC321" i="39"/>
  <c r="CB321" i="39"/>
  <c r="CA321" i="39"/>
  <c r="BZ321" i="39"/>
  <c r="BY321" i="39"/>
  <c r="BX321" i="39"/>
  <c r="AP321" i="39"/>
  <c r="AO321" i="39"/>
  <c r="CJ320" i="39"/>
  <c r="CI320" i="39"/>
  <c r="CH320" i="39"/>
  <c r="CG320" i="39"/>
  <c r="CF320" i="39"/>
  <c r="CE320" i="39"/>
  <c r="CD320" i="39"/>
  <c r="CC320" i="39"/>
  <c r="CB320" i="39"/>
  <c r="CA320" i="39"/>
  <c r="BZ320" i="39"/>
  <c r="BY320" i="39"/>
  <c r="BX320" i="39"/>
  <c r="AP320" i="39"/>
  <c r="AO320" i="39"/>
  <c r="CJ319" i="39"/>
  <c r="CI319" i="39"/>
  <c r="CH319" i="39"/>
  <c r="CG319" i="39"/>
  <c r="CF319" i="39"/>
  <c r="CE319" i="39"/>
  <c r="CD319" i="39"/>
  <c r="CC319" i="39"/>
  <c r="CB319" i="39"/>
  <c r="CA319" i="39"/>
  <c r="BZ319" i="39"/>
  <c r="BY319" i="39"/>
  <c r="BX319" i="39"/>
  <c r="AP319" i="39"/>
  <c r="AO319" i="39"/>
  <c r="G37" i="53"/>
  <c r="G36" i="53"/>
  <c r="G31" i="53"/>
  <c r="G26" i="56"/>
  <c r="G28" i="56"/>
  <c r="G25" i="56"/>
  <c r="CJ81" i="39"/>
  <c r="CI81" i="39"/>
  <c r="CH81" i="39"/>
  <c r="CG81" i="39"/>
  <c r="CF81" i="39"/>
  <c r="CE81" i="39"/>
  <c r="CD81" i="39"/>
  <c r="CC81" i="39"/>
  <c r="CB81" i="39"/>
  <c r="CA81" i="39"/>
  <c r="BZ81" i="39"/>
  <c r="BY81" i="39"/>
  <c r="BX81" i="39"/>
  <c r="AP81" i="39"/>
  <c r="AO81" i="39"/>
  <c r="CJ80" i="39"/>
  <c r="CI80" i="39"/>
  <c r="CH80" i="39"/>
  <c r="CG80" i="39"/>
  <c r="CF80" i="39"/>
  <c r="CE80" i="39"/>
  <c r="CD80" i="39"/>
  <c r="CC80" i="39"/>
  <c r="CB80" i="39"/>
  <c r="CA80" i="39"/>
  <c r="BZ80" i="39"/>
  <c r="BY80" i="39"/>
  <c r="BX80" i="39"/>
  <c r="AP80" i="39"/>
  <c r="AO80" i="39"/>
  <c r="CJ79" i="39"/>
  <c r="CI79" i="39"/>
  <c r="CH79" i="39"/>
  <c r="CG79" i="39"/>
  <c r="CF79" i="39"/>
  <c r="CE79" i="39"/>
  <c r="CD79" i="39"/>
  <c r="CC79" i="39"/>
  <c r="CB79" i="39"/>
  <c r="CA79" i="39"/>
  <c r="BZ79" i="39"/>
  <c r="BY79" i="39"/>
  <c r="BX79" i="39"/>
  <c r="AP79" i="39"/>
  <c r="AO79" i="39"/>
  <c r="CJ76" i="39"/>
  <c r="CI76" i="39"/>
  <c r="CH76" i="39"/>
  <c r="CG76" i="39"/>
  <c r="CF76" i="39"/>
  <c r="CE76" i="39"/>
  <c r="CD76" i="39"/>
  <c r="CC76" i="39"/>
  <c r="CB76" i="39"/>
  <c r="CA76" i="39"/>
  <c r="BZ76" i="39"/>
  <c r="BY76" i="39"/>
  <c r="BX76" i="39"/>
  <c r="AP76" i="39"/>
  <c r="AO76" i="39"/>
  <c r="CJ74" i="39"/>
  <c r="CI74" i="39"/>
  <c r="CH74" i="39"/>
  <c r="CG74" i="39"/>
  <c r="CF74" i="39"/>
  <c r="CE74" i="39"/>
  <c r="CD74" i="39"/>
  <c r="CC74" i="39"/>
  <c r="CB74" i="39"/>
  <c r="CA74" i="39"/>
  <c r="BZ74" i="39"/>
  <c r="BY74" i="39"/>
  <c r="BX74" i="39"/>
  <c r="AP74" i="39"/>
  <c r="AO74" i="39"/>
  <c r="CJ73" i="39"/>
  <c r="CI73" i="39"/>
  <c r="CH73" i="39"/>
  <c r="CG73" i="39"/>
  <c r="CF73" i="39"/>
  <c r="CE73" i="39"/>
  <c r="CD73" i="39"/>
  <c r="CC73" i="39"/>
  <c r="CB73" i="39"/>
  <c r="CA73" i="39"/>
  <c r="BZ73" i="39"/>
  <c r="BY73" i="39"/>
  <c r="BX73" i="39"/>
  <c r="AP73" i="39"/>
  <c r="AO73" i="39"/>
  <c r="CJ71" i="39"/>
  <c r="CI71" i="39"/>
  <c r="CH71" i="39"/>
  <c r="CG71" i="39"/>
  <c r="CF71" i="39"/>
  <c r="CE71" i="39"/>
  <c r="CD71" i="39"/>
  <c r="CC71" i="39"/>
  <c r="CB71" i="39"/>
  <c r="CA71" i="39"/>
  <c r="BZ71" i="39"/>
  <c r="BY71" i="39"/>
  <c r="BX71" i="39"/>
  <c r="AP71" i="39"/>
  <c r="AO71" i="39"/>
  <c r="CJ70" i="39"/>
  <c r="CI70" i="39"/>
  <c r="CH70" i="39"/>
  <c r="CG70" i="39"/>
  <c r="CF70" i="39"/>
  <c r="CE70" i="39"/>
  <c r="CD70" i="39"/>
  <c r="CC70" i="39"/>
  <c r="CB70" i="39"/>
  <c r="CA70" i="39"/>
  <c r="BZ70" i="39"/>
  <c r="BY70" i="39"/>
  <c r="BX70" i="39"/>
  <c r="AP70" i="39"/>
  <c r="AO70" i="39"/>
  <c r="CJ69" i="39"/>
  <c r="CI69" i="39"/>
  <c r="CH69" i="39"/>
  <c r="CG69" i="39"/>
  <c r="CF69" i="39"/>
  <c r="CE69" i="39"/>
  <c r="CD69" i="39"/>
  <c r="CC69" i="39"/>
  <c r="CB69" i="39"/>
  <c r="CA69" i="39"/>
  <c r="BZ69" i="39"/>
  <c r="BY69" i="39"/>
  <c r="BX69" i="39"/>
  <c r="AP69" i="39"/>
  <c r="AO69" i="39"/>
  <c r="CJ68" i="39"/>
  <c r="CI68" i="39"/>
  <c r="CH68" i="39"/>
  <c r="CG68" i="39"/>
  <c r="CF68" i="39"/>
  <c r="CE68" i="39"/>
  <c r="CD68" i="39"/>
  <c r="CC68" i="39"/>
  <c r="CB68" i="39"/>
  <c r="CA68" i="39"/>
  <c r="BZ68" i="39"/>
  <c r="BY68" i="39"/>
  <c r="BX68" i="39"/>
  <c r="AP68" i="39"/>
  <c r="AO68" i="39"/>
  <c r="AY67" i="39"/>
  <c r="I23" i="6" s="1"/>
  <c r="AP67" i="39"/>
  <c r="W23" i="6" s="1"/>
  <c r="AO67" i="39"/>
  <c r="B25" i="4"/>
  <c r="G8" i="89"/>
  <c r="G7" i="89" s="1"/>
  <c r="G6" i="89"/>
  <c r="G3" i="89"/>
  <c r="G5" i="89" s="1"/>
  <c r="T22" i="6"/>
  <c r="F15" i="55" s="1"/>
  <c r="Q22" i="6"/>
  <c r="O22" i="6"/>
  <c r="E15" i="55" s="1"/>
  <c r="F22" i="6"/>
  <c r="T38" i="6"/>
  <c r="T39" i="6"/>
  <c r="T40" i="6"/>
  <c r="T49" i="6"/>
  <c r="T48" i="6"/>
  <c r="CJ16" i="39"/>
  <c r="CI16" i="39"/>
  <c r="CH16" i="39"/>
  <c r="CG16" i="39"/>
  <c r="CF16" i="39"/>
  <c r="CE16" i="39"/>
  <c r="CD16" i="39"/>
  <c r="CC16" i="39"/>
  <c r="CB16" i="39"/>
  <c r="CA16" i="39"/>
  <c r="BZ16" i="39"/>
  <c r="BY16" i="39"/>
  <c r="BX16" i="39"/>
  <c r="AP16" i="39"/>
  <c r="AO16" i="39"/>
  <c r="G27" i="42"/>
  <c r="B21" i="55"/>
  <c r="CJ154" i="39"/>
  <c r="CI154" i="39"/>
  <c r="CH154" i="39"/>
  <c r="CG154" i="39"/>
  <c r="CF154" i="39"/>
  <c r="CE154" i="39"/>
  <c r="CD154" i="39"/>
  <c r="CC154" i="39"/>
  <c r="CB154" i="39"/>
  <c r="CA154" i="39"/>
  <c r="BZ154" i="39"/>
  <c r="BY154" i="39"/>
  <c r="BX154" i="39"/>
  <c r="AP154" i="39"/>
  <c r="AO154" i="39"/>
  <c r="CJ152" i="39"/>
  <c r="CI152" i="39"/>
  <c r="CH152" i="39"/>
  <c r="CG152" i="39"/>
  <c r="CF152" i="39"/>
  <c r="CE152" i="39"/>
  <c r="CD152" i="39"/>
  <c r="CC152" i="39"/>
  <c r="CB152" i="39"/>
  <c r="CA152" i="39"/>
  <c r="BZ152" i="39"/>
  <c r="BY152" i="39"/>
  <c r="BX152" i="39"/>
  <c r="AP152" i="39"/>
  <c r="AO152" i="39"/>
  <c r="CJ151" i="39"/>
  <c r="CI151" i="39"/>
  <c r="CH151" i="39"/>
  <c r="CG151" i="39"/>
  <c r="CF151" i="39"/>
  <c r="CE151" i="39"/>
  <c r="CD151" i="39"/>
  <c r="CC151" i="39"/>
  <c r="CB151" i="39"/>
  <c r="CA151" i="39"/>
  <c r="BZ151" i="39"/>
  <c r="BY151" i="39"/>
  <c r="BX151" i="39"/>
  <c r="AP151" i="39"/>
  <c r="AO151" i="39"/>
  <c r="G28" i="67"/>
  <c r="G27" i="67"/>
  <c r="G26" i="67"/>
  <c r="CJ125" i="39"/>
  <c r="CI125" i="39"/>
  <c r="CH125" i="39"/>
  <c r="CG125" i="39"/>
  <c r="CF125" i="39"/>
  <c r="CE125" i="39"/>
  <c r="CD125" i="39"/>
  <c r="CC125" i="39"/>
  <c r="CB125" i="39"/>
  <c r="CA125" i="39"/>
  <c r="BZ125" i="39"/>
  <c r="BY125" i="39"/>
  <c r="BX125" i="39"/>
  <c r="AP125" i="39"/>
  <c r="AO125" i="39"/>
  <c r="CJ124" i="39"/>
  <c r="CI124" i="39"/>
  <c r="CH124" i="39"/>
  <c r="CG124" i="39"/>
  <c r="CF124" i="39"/>
  <c r="CE124" i="39"/>
  <c r="CD124" i="39"/>
  <c r="CC124" i="39"/>
  <c r="CB124" i="39"/>
  <c r="CA124" i="39"/>
  <c r="BZ124" i="39"/>
  <c r="BY124" i="39"/>
  <c r="BX124" i="39"/>
  <c r="AP124" i="39"/>
  <c r="AO124" i="39"/>
  <c r="CJ123" i="39"/>
  <c r="CI123" i="39"/>
  <c r="CH123" i="39"/>
  <c r="CG123" i="39"/>
  <c r="CF123" i="39"/>
  <c r="CE123" i="39"/>
  <c r="CD123" i="39"/>
  <c r="CC123" i="39"/>
  <c r="CB123" i="39"/>
  <c r="CA123" i="39"/>
  <c r="BZ123" i="39"/>
  <c r="BY123" i="39"/>
  <c r="BX123" i="39"/>
  <c r="AP123" i="39"/>
  <c r="AO123" i="39"/>
  <c r="G26" i="94"/>
  <c r="G27" i="94"/>
  <c r="G28" i="94"/>
  <c r="G25" i="94"/>
  <c r="CJ118" i="39"/>
  <c r="CI118" i="39"/>
  <c r="CH118" i="39"/>
  <c r="CG118" i="39"/>
  <c r="CF118" i="39"/>
  <c r="CE118" i="39"/>
  <c r="CD118" i="39"/>
  <c r="CC118" i="39"/>
  <c r="CB118" i="39"/>
  <c r="CA118" i="39"/>
  <c r="BZ118" i="39"/>
  <c r="BY118" i="39"/>
  <c r="BX118" i="39"/>
  <c r="AP118" i="39"/>
  <c r="AO118" i="39"/>
  <c r="CJ117" i="39"/>
  <c r="CI117" i="39"/>
  <c r="CH117" i="39"/>
  <c r="CG117" i="39"/>
  <c r="CF117" i="39"/>
  <c r="CE117" i="39"/>
  <c r="CD117" i="39"/>
  <c r="CC117" i="39"/>
  <c r="CB117" i="39"/>
  <c r="CA117" i="39"/>
  <c r="BZ117" i="39"/>
  <c r="BY117" i="39"/>
  <c r="BX117" i="39"/>
  <c r="AP117" i="39"/>
  <c r="AO117" i="39"/>
  <c r="CJ119" i="39"/>
  <c r="CI119" i="39"/>
  <c r="CH119" i="39"/>
  <c r="CG119" i="39"/>
  <c r="CF119" i="39"/>
  <c r="CE119" i="39"/>
  <c r="CD119" i="39"/>
  <c r="CC119" i="39"/>
  <c r="CB119" i="39"/>
  <c r="CA119" i="39"/>
  <c r="BZ119" i="39"/>
  <c r="BY119" i="39"/>
  <c r="BX119" i="39"/>
  <c r="AP119" i="39"/>
  <c r="AO119" i="39"/>
  <c r="CJ116" i="39"/>
  <c r="CI116" i="39"/>
  <c r="CH116" i="39"/>
  <c r="CG116" i="39"/>
  <c r="CF116" i="39"/>
  <c r="CE116" i="39"/>
  <c r="CD116" i="39"/>
  <c r="CC116" i="39"/>
  <c r="CB116" i="39"/>
  <c r="CA116" i="39"/>
  <c r="BZ116" i="39"/>
  <c r="BY116" i="39"/>
  <c r="BX116" i="39"/>
  <c r="AP116" i="39"/>
  <c r="AO116" i="39"/>
  <c r="G24" i="93"/>
  <c r="G25" i="93"/>
  <c r="G26" i="93"/>
  <c r="G27" i="93"/>
  <c r="B31" i="4"/>
  <c r="F28" i="6"/>
  <c r="F32" i="6"/>
  <c r="F36" i="6"/>
  <c r="F40" i="6"/>
  <c r="F41" i="6"/>
  <c r="CJ126" i="39"/>
  <c r="CI126" i="39"/>
  <c r="CH126" i="39"/>
  <c r="CG126" i="39"/>
  <c r="CF126" i="39"/>
  <c r="CE126" i="39"/>
  <c r="CD126" i="39"/>
  <c r="CC126" i="39"/>
  <c r="CB126" i="39"/>
  <c r="CA126" i="39"/>
  <c r="BZ126" i="39"/>
  <c r="BY126" i="39"/>
  <c r="BX126" i="39"/>
  <c r="AP126" i="39"/>
  <c r="AO126" i="39"/>
  <c r="CJ122" i="39"/>
  <c r="CI122" i="39"/>
  <c r="CH122" i="39"/>
  <c r="CG122" i="39"/>
  <c r="CF122" i="39"/>
  <c r="CE122" i="39"/>
  <c r="CD122" i="39"/>
  <c r="CC122" i="39"/>
  <c r="CB122" i="39"/>
  <c r="CA122" i="39"/>
  <c r="BZ122" i="39"/>
  <c r="BY122" i="39"/>
  <c r="BX122" i="39"/>
  <c r="AP122" i="39"/>
  <c r="AO122" i="39"/>
  <c r="CJ121" i="39"/>
  <c r="CI121" i="39"/>
  <c r="CH121" i="39"/>
  <c r="CG121" i="39"/>
  <c r="CF121" i="39"/>
  <c r="CE121" i="39"/>
  <c r="CD121" i="39"/>
  <c r="CC121" i="39"/>
  <c r="CB121" i="39"/>
  <c r="CA121" i="39"/>
  <c r="BZ121" i="39"/>
  <c r="BY121" i="39"/>
  <c r="BX121" i="39"/>
  <c r="AP121" i="39"/>
  <c r="AO121" i="39"/>
  <c r="AY120" i="39"/>
  <c r="I28" i="6" s="1"/>
  <c r="AP120" i="39"/>
  <c r="W28" i="6" s="1"/>
  <c r="AO120" i="39"/>
  <c r="V8" i="89"/>
  <c r="V7" i="89" s="1"/>
  <c r="V6" i="89"/>
  <c r="V3" i="89"/>
  <c r="V5" i="89" s="1"/>
  <c r="T28" i="6"/>
  <c r="Q28" i="6"/>
  <c r="O28" i="6"/>
  <c r="G24" i="94"/>
  <c r="G23" i="94"/>
  <c r="D2" i="94"/>
  <c r="B20" i="55"/>
  <c r="CJ115" i="39"/>
  <c r="CI115" i="39"/>
  <c r="CH115" i="39"/>
  <c r="CG115" i="39"/>
  <c r="CF115" i="39"/>
  <c r="CE115" i="39"/>
  <c r="CD115" i="39"/>
  <c r="CC115" i="39"/>
  <c r="CB115" i="39"/>
  <c r="CA115" i="39"/>
  <c r="BZ115" i="39"/>
  <c r="BY115" i="39"/>
  <c r="BX115" i="39"/>
  <c r="AP115" i="39"/>
  <c r="AO115" i="39"/>
  <c r="CJ114" i="39"/>
  <c r="CI114" i="39"/>
  <c r="CH114" i="39"/>
  <c r="CG114" i="39"/>
  <c r="CF114" i="39"/>
  <c r="CE114" i="39"/>
  <c r="CD114" i="39"/>
  <c r="CC114" i="39"/>
  <c r="CB114" i="39"/>
  <c r="CA114" i="39"/>
  <c r="BZ114" i="39"/>
  <c r="BY114" i="39"/>
  <c r="BX114" i="39"/>
  <c r="AP114" i="39"/>
  <c r="AO114" i="39"/>
  <c r="AY113" i="39"/>
  <c r="I27" i="6" s="1"/>
  <c r="AP113" i="39"/>
  <c r="W27" i="6" s="1"/>
  <c r="AO113" i="39"/>
  <c r="B29" i="4"/>
  <c r="B30" i="4"/>
  <c r="B32" i="4"/>
  <c r="B33" i="4"/>
  <c r="B34" i="4"/>
  <c r="B35" i="4"/>
  <c r="B36" i="4"/>
  <c r="B37" i="4"/>
  <c r="B38" i="4"/>
  <c r="B39" i="4"/>
  <c r="B40" i="4"/>
  <c r="B41" i="4"/>
  <c r="B42" i="4"/>
  <c r="B43" i="4"/>
  <c r="B45" i="4"/>
  <c r="B46" i="4"/>
  <c r="B47" i="4"/>
  <c r="B49" i="4"/>
  <c r="B50" i="4"/>
  <c r="B52" i="4"/>
  <c r="X8" i="89"/>
  <c r="X7" i="89" s="1"/>
  <c r="X6" i="89"/>
  <c r="X3" i="89"/>
  <c r="X5" i="89" s="1"/>
  <c r="T27" i="6"/>
  <c r="Q27" i="6"/>
  <c r="O27" i="6"/>
  <c r="F27" i="6"/>
  <c r="X9" i="89" s="1"/>
  <c r="G28" i="93"/>
  <c r="G23" i="93"/>
  <c r="D2" i="93"/>
  <c r="B27" i="4"/>
  <c r="B28" i="4"/>
  <c r="G24" i="92"/>
  <c r="CJ106" i="39"/>
  <c r="CI106" i="39"/>
  <c r="CH106" i="39"/>
  <c r="CG106" i="39"/>
  <c r="CF106" i="39"/>
  <c r="CE106" i="39"/>
  <c r="CD106" i="39"/>
  <c r="CC106" i="39"/>
  <c r="CB106" i="39"/>
  <c r="CA106" i="39"/>
  <c r="BZ106" i="39"/>
  <c r="BY106" i="39"/>
  <c r="BX106" i="39"/>
  <c r="AP106" i="39"/>
  <c r="AO106" i="39"/>
  <c r="B19" i="55"/>
  <c r="CJ112" i="39"/>
  <c r="CI112" i="39"/>
  <c r="CH112" i="39"/>
  <c r="CG112" i="39"/>
  <c r="CF112" i="39"/>
  <c r="CE112" i="39"/>
  <c r="CD112" i="39"/>
  <c r="CC112" i="39"/>
  <c r="CB112" i="39"/>
  <c r="CA112" i="39"/>
  <c r="BZ112" i="39"/>
  <c r="BY112" i="39"/>
  <c r="BX112" i="39"/>
  <c r="AP112" i="39"/>
  <c r="AO112" i="39"/>
  <c r="CJ105" i="39"/>
  <c r="CI105" i="39"/>
  <c r="CH105" i="39"/>
  <c r="CG105" i="39"/>
  <c r="CF105" i="39"/>
  <c r="CE105" i="39"/>
  <c r="CD105" i="39"/>
  <c r="CC105" i="39"/>
  <c r="CB105" i="39"/>
  <c r="CA105" i="39"/>
  <c r="BZ105" i="39"/>
  <c r="BY105" i="39"/>
  <c r="BX105" i="39"/>
  <c r="AP105" i="39"/>
  <c r="AO105" i="39"/>
  <c r="AY104" i="39"/>
  <c r="I26" i="6" s="1"/>
  <c r="AP104" i="39"/>
  <c r="W26" i="6" s="1"/>
  <c r="AO104" i="39"/>
  <c r="W8" i="89"/>
  <c r="W7" i="89" s="1"/>
  <c r="W6" i="89"/>
  <c r="W3" i="89"/>
  <c r="W5" i="89" s="1"/>
  <c r="T26" i="6"/>
  <c r="Q26" i="6"/>
  <c r="O26" i="6"/>
  <c r="F26" i="6"/>
  <c r="G30" i="92"/>
  <c r="G23" i="92"/>
  <c r="D2" i="92"/>
  <c r="AO11" i="39"/>
  <c r="AO12" i="39"/>
  <c r="AO13" i="39"/>
  <c r="AO14" i="39"/>
  <c r="AO15" i="39"/>
  <c r="BW15" i="39" s="1"/>
  <c r="AO17" i="39"/>
  <c r="AO18" i="39"/>
  <c r="AO19" i="39"/>
  <c r="AO36" i="39"/>
  <c r="BW36" i="39" s="1"/>
  <c r="AO37" i="39"/>
  <c r="AO39" i="39"/>
  <c r="AO45" i="39"/>
  <c r="AO46" i="39"/>
  <c r="BW46" i="39" s="1"/>
  <c r="AO47" i="39"/>
  <c r="AO48" i="39"/>
  <c r="AO49" i="39"/>
  <c r="AO50" i="39"/>
  <c r="BW50" i="39" s="1"/>
  <c r="AO63" i="39"/>
  <c r="AO64" i="39"/>
  <c r="AO65" i="39"/>
  <c r="AO66" i="39"/>
  <c r="AO82" i="39"/>
  <c r="AO83" i="39"/>
  <c r="AO84" i="39"/>
  <c r="AO85" i="39"/>
  <c r="AO86" i="39"/>
  <c r="AO87" i="39"/>
  <c r="AO88" i="39"/>
  <c r="AO89" i="39"/>
  <c r="AO90" i="39"/>
  <c r="AO93" i="39"/>
  <c r="AO94" i="39"/>
  <c r="AO95" i="39"/>
  <c r="AO96" i="39"/>
  <c r="AO97" i="39"/>
  <c r="AO98" i="39"/>
  <c r="AO99" i="39"/>
  <c r="AO100" i="39"/>
  <c r="AO101" i="39"/>
  <c r="AO102" i="39"/>
  <c r="AO103" i="39"/>
  <c r="AO127" i="39"/>
  <c r="AO128" i="39"/>
  <c r="AO129" i="39"/>
  <c r="AO130" i="39"/>
  <c r="AO131" i="39"/>
  <c r="AO132" i="39"/>
  <c r="AO134" i="39"/>
  <c r="AO135" i="39"/>
  <c r="AO136" i="39"/>
  <c r="AO137" i="39"/>
  <c r="AO138" i="39"/>
  <c r="AO139" i="39"/>
  <c r="AO140" i="39"/>
  <c r="AO141" i="39"/>
  <c r="AO142" i="39"/>
  <c r="AO143" i="39"/>
  <c r="AO144" i="39"/>
  <c r="AO145" i="39"/>
  <c r="AO146" i="39"/>
  <c r="AO147" i="39"/>
  <c r="AO148" i="39"/>
  <c r="AO149" i="39"/>
  <c r="AO150" i="39"/>
  <c r="AO153" i="39"/>
  <c r="AO155" i="39"/>
  <c r="AO156" i="39"/>
  <c r="AO157" i="39"/>
  <c r="AO158" i="39"/>
  <c r="AO159" i="39"/>
  <c r="AO160" i="39"/>
  <c r="AO161" i="39"/>
  <c r="AO162" i="39"/>
  <c r="AO163" i="39"/>
  <c r="AO164" i="39"/>
  <c r="AO165" i="39"/>
  <c r="AO166" i="39"/>
  <c r="AO167" i="39"/>
  <c r="AO168" i="39"/>
  <c r="AO169" i="39"/>
  <c r="AO170" i="39"/>
  <c r="AO171" i="39"/>
  <c r="AO173" i="39"/>
  <c r="AO174" i="39"/>
  <c r="AO175" i="39"/>
  <c r="AO176" i="39"/>
  <c r="AO177" i="39"/>
  <c r="AO178" i="39"/>
  <c r="AO179" i="39"/>
  <c r="AO180" i="39"/>
  <c r="AO181" i="39"/>
  <c r="AO182" i="39"/>
  <c r="AO183" i="39"/>
  <c r="AO184" i="39"/>
  <c r="AO185" i="39"/>
  <c r="AO186" i="39"/>
  <c r="AO193" i="39"/>
  <c r="AO194" i="39"/>
  <c r="AO195" i="39"/>
  <c r="AO196" i="39"/>
  <c r="AO197" i="39"/>
  <c r="AO198" i="39"/>
  <c r="AO199" i="39"/>
  <c r="AO200" i="39"/>
  <c r="AO201" i="39"/>
  <c r="AO202" i="39"/>
  <c r="AO203" i="39"/>
  <c r="AO204" i="39"/>
  <c r="AO205" i="39"/>
  <c r="AO206" i="39"/>
  <c r="AO207" i="39"/>
  <c r="AO208" i="39"/>
  <c r="AO209" i="39"/>
  <c r="AO210" i="39"/>
  <c r="AO211" i="39"/>
  <c r="AO212" i="39"/>
  <c r="AO213" i="39"/>
  <c r="AO216" i="39"/>
  <c r="AO226" i="39"/>
  <c r="AO227" i="39"/>
  <c r="AO228" i="39"/>
  <c r="AO229" i="39"/>
  <c r="AO230" i="39"/>
  <c r="AO231" i="39"/>
  <c r="AO232" i="39"/>
  <c r="AO236" i="39"/>
  <c r="AO237" i="39"/>
  <c r="AO238" i="39"/>
  <c r="AO239" i="39"/>
  <c r="AO240" i="39"/>
  <c r="AO241" i="39"/>
  <c r="AO242" i="39"/>
  <c r="AO243" i="39"/>
  <c r="AO244" i="39"/>
  <c r="AO245" i="39"/>
  <c r="AO247" i="39"/>
  <c r="AO248" i="39"/>
  <c r="AO249" i="39"/>
  <c r="AO250" i="39"/>
  <c r="AO251" i="39"/>
  <c r="AO252" i="39"/>
  <c r="G24" i="75"/>
  <c r="G25" i="75"/>
  <c r="G26" i="75"/>
  <c r="G27" i="75"/>
  <c r="G28" i="75"/>
  <c r="G23" i="75"/>
  <c r="CJ267" i="39"/>
  <c r="CI267" i="39"/>
  <c r="CH267" i="39"/>
  <c r="CG267" i="39"/>
  <c r="CF267" i="39"/>
  <c r="CE267" i="39"/>
  <c r="CD267" i="39"/>
  <c r="CC267" i="39"/>
  <c r="CB267" i="39"/>
  <c r="CA267" i="39"/>
  <c r="BZ267" i="39"/>
  <c r="BY267" i="39"/>
  <c r="BX267" i="39"/>
  <c r="AP267" i="39"/>
  <c r="AO267" i="39"/>
  <c r="G30" i="85"/>
  <c r="G33" i="67"/>
  <c r="T23" i="6"/>
  <c r="T24" i="6"/>
  <c r="F17" i="55" s="1"/>
  <c r="T25" i="6"/>
  <c r="T29" i="6"/>
  <c r="F22" i="55" s="1"/>
  <c r="T30" i="6"/>
  <c r="F23" i="55" s="1"/>
  <c r="T31" i="6"/>
  <c r="F24" i="55" s="1"/>
  <c r="T32" i="6"/>
  <c r="T33" i="6"/>
  <c r="T34" i="6"/>
  <c r="T35" i="6"/>
  <c r="F28" i="55" s="1"/>
  <c r="T36" i="6"/>
  <c r="T37" i="6"/>
  <c r="T41" i="6"/>
  <c r="F33" i="55" s="1"/>
  <c r="T43" i="6"/>
  <c r="F36" i="55" s="1"/>
  <c r="T44" i="6"/>
  <c r="T45" i="6"/>
  <c r="T47" i="6"/>
  <c r="F40" i="55" s="1"/>
  <c r="CJ256" i="39"/>
  <c r="CI256" i="39"/>
  <c r="CH256" i="39"/>
  <c r="CG256" i="39"/>
  <c r="CF256" i="39"/>
  <c r="CE256" i="39"/>
  <c r="CD256" i="39"/>
  <c r="CC256" i="39"/>
  <c r="CB256" i="39"/>
  <c r="CA256" i="39"/>
  <c r="BZ256" i="39"/>
  <c r="BY256" i="39"/>
  <c r="BX256" i="39"/>
  <c r="AP256" i="39"/>
  <c r="AO256" i="39"/>
  <c r="CJ97" i="39"/>
  <c r="CI97" i="39"/>
  <c r="CH97" i="39"/>
  <c r="CG97" i="39"/>
  <c r="CF97" i="39"/>
  <c r="CE97" i="39"/>
  <c r="CD97" i="39"/>
  <c r="CC97" i="39"/>
  <c r="CB97" i="39"/>
  <c r="CA97" i="39"/>
  <c r="BZ97" i="39"/>
  <c r="BY97" i="39"/>
  <c r="BX97" i="39"/>
  <c r="AP97" i="39"/>
  <c r="CJ95" i="39"/>
  <c r="CI95" i="39"/>
  <c r="CH95" i="39"/>
  <c r="CG95" i="39"/>
  <c r="CF95" i="39"/>
  <c r="CE95" i="39"/>
  <c r="CD95" i="39"/>
  <c r="CC95" i="39"/>
  <c r="CB95" i="39"/>
  <c r="CA95" i="39"/>
  <c r="BZ95" i="39"/>
  <c r="BY95" i="39"/>
  <c r="BX95" i="39"/>
  <c r="AP95" i="39"/>
  <c r="CJ94" i="39"/>
  <c r="CI94" i="39"/>
  <c r="CH94" i="39"/>
  <c r="CG94" i="39"/>
  <c r="CF94" i="39"/>
  <c r="CE94" i="39"/>
  <c r="CD94" i="39"/>
  <c r="CC94" i="39"/>
  <c r="CB94" i="39"/>
  <c r="CA94" i="39"/>
  <c r="BZ94" i="39"/>
  <c r="BY94" i="39"/>
  <c r="BX94" i="39"/>
  <c r="AP94" i="39"/>
  <c r="CJ100" i="39"/>
  <c r="CI100" i="39"/>
  <c r="CH100" i="39"/>
  <c r="CG100" i="39"/>
  <c r="CF100" i="39"/>
  <c r="CE100" i="39"/>
  <c r="CD100" i="39"/>
  <c r="CC100" i="39"/>
  <c r="CB100" i="39"/>
  <c r="CA100" i="39"/>
  <c r="BZ100" i="39"/>
  <c r="BY100" i="39"/>
  <c r="BX100" i="39"/>
  <c r="AP100" i="39"/>
  <c r="CJ99" i="39"/>
  <c r="CI99" i="39"/>
  <c r="CH99" i="39"/>
  <c r="CG99" i="39"/>
  <c r="CF99" i="39"/>
  <c r="CE99" i="39"/>
  <c r="CD99" i="39"/>
  <c r="CC99" i="39"/>
  <c r="CB99" i="39"/>
  <c r="CA99" i="39"/>
  <c r="BZ99" i="39"/>
  <c r="BY99" i="39"/>
  <c r="BX99" i="39"/>
  <c r="AP99" i="39"/>
  <c r="CJ98" i="39"/>
  <c r="CI98" i="39"/>
  <c r="CH98" i="39"/>
  <c r="CG98" i="39"/>
  <c r="CF98" i="39"/>
  <c r="CE98" i="39"/>
  <c r="CD98" i="39"/>
  <c r="CC98" i="39"/>
  <c r="CB98" i="39"/>
  <c r="CA98" i="39"/>
  <c r="BZ98" i="39"/>
  <c r="BY98" i="39"/>
  <c r="BX98" i="39"/>
  <c r="AP98" i="39"/>
  <c r="CJ96" i="39"/>
  <c r="CI96" i="39"/>
  <c r="CH96" i="39"/>
  <c r="CG96" i="39"/>
  <c r="CF96" i="39"/>
  <c r="CE96" i="39"/>
  <c r="CD96" i="39"/>
  <c r="CC96" i="39"/>
  <c r="CB96" i="39"/>
  <c r="CA96" i="39"/>
  <c r="BZ96" i="39"/>
  <c r="BY96" i="39"/>
  <c r="BX96" i="39"/>
  <c r="AP96" i="39"/>
  <c r="CJ93" i="39"/>
  <c r="CI93" i="39"/>
  <c r="CH93" i="39"/>
  <c r="CG93" i="39"/>
  <c r="CF93" i="39"/>
  <c r="CE93" i="39"/>
  <c r="CD93" i="39"/>
  <c r="CC93" i="39"/>
  <c r="CB93" i="39"/>
  <c r="CA93" i="39"/>
  <c r="BZ93" i="39"/>
  <c r="BY93" i="39"/>
  <c r="BX93" i="39"/>
  <c r="AP93" i="39"/>
  <c r="CJ90" i="39"/>
  <c r="CI90" i="39"/>
  <c r="CH90" i="39"/>
  <c r="CG90" i="39"/>
  <c r="CF90" i="39"/>
  <c r="CE90" i="39"/>
  <c r="CD90" i="39"/>
  <c r="CC90" i="39"/>
  <c r="CB90" i="39"/>
  <c r="CA90" i="39"/>
  <c r="BZ90" i="39"/>
  <c r="BY90" i="39"/>
  <c r="BX90" i="39"/>
  <c r="AP90" i="39"/>
  <c r="CJ89" i="39"/>
  <c r="CI89" i="39"/>
  <c r="CH89" i="39"/>
  <c r="CG89" i="39"/>
  <c r="CF89" i="39"/>
  <c r="CE89" i="39"/>
  <c r="CD89" i="39"/>
  <c r="CC89" i="39"/>
  <c r="CB89" i="39"/>
  <c r="CA89" i="39"/>
  <c r="BZ89" i="39"/>
  <c r="BY89" i="39"/>
  <c r="BX89" i="39"/>
  <c r="AP89" i="39"/>
  <c r="CJ88" i="39"/>
  <c r="CI88" i="39"/>
  <c r="CH88" i="39"/>
  <c r="CG88" i="39"/>
  <c r="CF88" i="39"/>
  <c r="CE88" i="39"/>
  <c r="CD88" i="39"/>
  <c r="CC88" i="39"/>
  <c r="CB88" i="39"/>
  <c r="CA88" i="39"/>
  <c r="BZ88" i="39"/>
  <c r="BY88" i="39"/>
  <c r="BX88" i="39"/>
  <c r="AP88" i="39"/>
  <c r="CJ87" i="39"/>
  <c r="CI87" i="39"/>
  <c r="CH87" i="39"/>
  <c r="CG87" i="39"/>
  <c r="CF87" i="39"/>
  <c r="CE87" i="39"/>
  <c r="CD87" i="39"/>
  <c r="CC87" i="39"/>
  <c r="CB87" i="39"/>
  <c r="CA87" i="39"/>
  <c r="BZ87" i="39"/>
  <c r="BY87" i="39"/>
  <c r="BX87" i="39"/>
  <c r="AP87" i="39"/>
  <c r="CJ86" i="39"/>
  <c r="CI86" i="39"/>
  <c r="CH86" i="39"/>
  <c r="CG86" i="39"/>
  <c r="CF86" i="39"/>
  <c r="CE86" i="39"/>
  <c r="CD86" i="39"/>
  <c r="CC86" i="39"/>
  <c r="CB86" i="39"/>
  <c r="CA86" i="39"/>
  <c r="BZ86" i="39"/>
  <c r="BY86" i="39"/>
  <c r="BX86" i="39"/>
  <c r="AP86" i="39"/>
  <c r="CJ85" i="39"/>
  <c r="CI85" i="39"/>
  <c r="CH85" i="39"/>
  <c r="CG85" i="39"/>
  <c r="CF85" i="39"/>
  <c r="CE85" i="39"/>
  <c r="CD85" i="39"/>
  <c r="CC85" i="39"/>
  <c r="CB85" i="39"/>
  <c r="CA85" i="39"/>
  <c r="BZ85" i="39"/>
  <c r="BY85" i="39"/>
  <c r="BX85" i="39"/>
  <c r="AP85" i="39"/>
  <c r="CJ84" i="39"/>
  <c r="CI84" i="39"/>
  <c r="CH84" i="39"/>
  <c r="CG84" i="39"/>
  <c r="CF84" i="39"/>
  <c r="CE84" i="39"/>
  <c r="CD84" i="39"/>
  <c r="CC84" i="39"/>
  <c r="CB84" i="39"/>
  <c r="CA84" i="39"/>
  <c r="BZ84" i="39"/>
  <c r="BY84" i="39"/>
  <c r="BX84" i="39"/>
  <c r="AP84" i="39"/>
  <c r="G40" i="47"/>
  <c r="G37" i="47"/>
  <c r="G36" i="47"/>
  <c r="G35" i="47"/>
  <c r="G34" i="47"/>
  <c r="G25" i="47"/>
  <c r="G26" i="47"/>
  <c r="G27" i="47"/>
  <c r="G28" i="47"/>
  <c r="G29" i="47"/>
  <c r="G30" i="47"/>
  <c r="G31" i="47"/>
  <c r="G32" i="47"/>
  <c r="G33" i="47"/>
  <c r="G24" i="47"/>
  <c r="G23" i="47"/>
  <c r="G24" i="54"/>
  <c r="CJ185" i="39"/>
  <c r="CI185" i="39"/>
  <c r="CH185" i="39"/>
  <c r="CG185" i="39"/>
  <c r="CF185" i="39"/>
  <c r="CE185" i="39"/>
  <c r="CD185" i="39"/>
  <c r="CC185" i="39"/>
  <c r="CB185" i="39"/>
  <c r="CA185" i="39"/>
  <c r="BZ185" i="39"/>
  <c r="BY185" i="39"/>
  <c r="BX185" i="39"/>
  <c r="AP185" i="39"/>
  <c r="G47" i="52"/>
  <c r="CJ281" i="39"/>
  <c r="CI281" i="39"/>
  <c r="CH281" i="39"/>
  <c r="CG281" i="39"/>
  <c r="CF281" i="39"/>
  <c r="CE281" i="39"/>
  <c r="CD281" i="39"/>
  <c r="CC281" i="39"/>
  <c r="CB281" i="39"/>
  <c r="CA281" i="39"/>
  <c r="BZ281" i="39"/>
  <c r="BY281" i="39"/>
  <c r="BX281" i="39"/>
  <c r="AP281" i="39"/>
  <c r="AO281" i="39"/>
  <c r="J7" i="39"/>
  <c r="C53" i="4"/>
  <c r="D51" i="4" s="1"/>
  <c r="AO253" i="39"/>
  <c r="AO254" i="39"/>
  <c r="AO255" i="39"/>
  <c r="AO257" i="39"/>
  <c r="AO258" i="39"/>
  <c r="AO259" i="39"/>
  <c r="AO260" i="39"/>
  <c r="AO261" i="39"/>
  <c r="AO263" i="39"/>
  <c r="AO268" i="39"/>
  <c r="AO269" i="39"/>
  <c r="AO270" i="39"/>
  <c r="AO271" i="39"/>
  <c r="AO279" i="39"/>
  <c r="AO280" i="39"/>
  <c r="AO283" i="39"/>
  <c r="AO284" i="39"/>
  <c r="AO285" i="39"/>
  <c r="AO286" i="39"/>
  <c r="AO288" i="39"/>
  <c r="AO289" i="39"/>
  <c r="AO290" i="39"/>
  <c r="AO291" i="39"/>
  <c r="AO292" i="39"/>
  <c r="AO293" i="39"/>
  <c r="AO294" i="39"/>
  <c r="AO295" i="39"/>
  <c r="AO296" i="39"/>
  <c r="AO304" i="39"/>
  <c r="AO305" i="39"/>
  <c r="AO306" i="39"/>
  <c r="AO307" i="39"/>
  <c r="AO308" i="39"/>
  <c r="AO309" i="39"/>
  <c r="AO310" i="39"/>
  <c r="AO311" i="39"/>
  <c r="AO312" i="39"/>
  <c r="AO313" i="39"/>
  <c r="AO317" i="39"/>
  <c r="AO322" i="39"/>
  <c r="AO323" i="39"/>
  <c r="AO324" i="39"/>
  <c r="AO325" i="39"/>
  <c r="AO326" i="39"/>
  <c r="AO327" i="39"/>
  <c r="AO328" i="39"/>
  <c r="AO340" i="39"/>
  <c r="AP127" i="39"/>
  <c r="W29" i="6" s="1"/>
  <c r="AP11" i="39"/>
  <c r="W20" i="6" s="1"/>
  <c r="AP63" i="39"/>
  <c r="W22" i="6" s="1"/>
  <c r="AP82" i="39"/>
  <c r="W24" i="6" s="1"/>
  <c r="AP101" i="39"/>
  <c r="W25" i="6" s="1"/>
  <c r="AP136" i="39"/>
  <c r="W30" i="6" s="1"/>
  <c r="AP145" i="39"/>
  <c r="W31" i="6" s="1"/>
  <c r="AP157" i="39"/>
  <c r="W32" i="6" s="1"/>
  <c r="AP166" i="39"/>
  <c r="W33" i="6" s="1"/>
  <c r="AP177" i="39"/>
  <c r="W34" i="6" s="1"/>
  <c r="AP206" i="39"/>
  <c r="W35" i="6" s="1"/>
  <c r="AP210" i="39"/>
  <c r="W36" i="6" s="1"/>
  <c r="AP227" i="39"/>
  <c r="W37" i="6" s="1"/>
  <c r="AP244" i="39"/>
  <c r="W38" i="6" s="1"/>
  <c r="AP248" i="39"/>
  <c r="W39" i="6" s="1"/>
  <c r="AP253" i="39"/>
  <c r="W40" i="6" s="1"/>
  <c r="AP257" i="39"/>
  <c r="W41" i="6" s="1"/>
  <c r="AP279" i="39"/>
  <c r="W43" i="6" s="1"/>
  <c r="AP284" i="39"/>
  <c r="W44" i="6" s="1"/>
  <c r="AP290" i="39"/>
  <c r="W45" i="6" s="1"/>
  <c r="AP304" i="39"/>
  <c r="W47" i="6" s="1"/>
  <c r="AP309" i="39"/>
  <c r="W48" i="6" s="1"/>
  <c r="AP327" i="39"/>
  <c r="W49" i="6" s="1"/>
  <c r="H7" i="6"/>
  <c r="O49" i="6"/>
  <c r="O48" i="6"/>
  <c r="O47" i="6"/>
  <c r="O45" i="6"/>
  <c r="O44" i="6"/>
  <c r="O43" i="6"/>
  <c r="E36" i="55" s="1"/>
  <c r="O41" i="6"/>
  <c r="O40" i="6"/>
  <c r="O39" i="6"/>
  <c r="O38" i="6"/>
  <c r="O37" i="6"/>
  <c r="O36" i="6"/>
  <c r="O35" i="6"/>
  <c r="O34" i="6"/>
  <c r="O33" i="6"/>
  <c r="O32" i="6"/>
  <c r="O31" i="6"/>
  <c r="O30" i="6"/>
  <c r="O29" i="6"/>
  <c r="O25" i="6"/>
  <c r="O24" i="6"/>
  <c r="O23" i="6"/>
  <c r="E14" i="55"/>
  <c r="F45" i="6"/>
  <c r="Q9" i="89" s="1"/>
  <c r="F44" i="6"/>
  <c r="T9" i="89" s="1"/>
  <c r="F43" i="6"/>
  <c r="F37" i="6"/>
  <c r="Y9" i="89" s="1"/>
  <c r="F33" i="6"/>
  <c r="AX166" i="39" s="1"/>
  <c r="F23" i="6"/>
  <c r="F31" i="6"/>
  <c r="AX145" i="39" s="1"/>
  <c r="F25" i="6"/>
  <c r="F24" i="6"/>
  <c r="AX82" i="39" s="1"/>
  <c r="F38" i="6"/>
  <c r="H9" i="89" s="1"/>
  <c r="F39" i="6"/>
  <c r="F48" i="6"/>
  <c r="J9" i="89" s="1"/>
  <c r="F29" i="6"/>
  <c r="AX127" i="39" s="1"/>
  <c r="F34" i="6"/>
  <c r="J34" i="6" s="1"/>
  <c r="F30" i="6"/>
  <c r="F35" i="6"/>
  <c r="AX206" i="39" s="1"/>
  <c r="F47" i="6"/>
  <c r="J47" i="6" s="1"/>
  <c r="G24" i="45"/>
  <c r="AC8" i="89"/>
  <c r="AA8" i="89"/>
  <c r="AA7" i="89" s="1"/>
  <c r="Z8" i="89"/>
  <c r="Q8" i="89"/>
  <c r="Y8" i="89"/>
  <c r="L8" i="89"/>
  <c r="L7" i="89" s="1"/>
  <c r="AB8" i="89"/>
  <c r="P8" i="89"/>
  <c r="O8" i="89"/>
  <c r="M8" i="89"/>
  <c r="M7" i="89" s="1"/>
  <c r="T8" i="89"/>
  <c r="S8" i="89"/>
  <c r="K8" i="89"/>
  <c r="U8" i="89"/>
  <c r="AD8" i="89"/>
  <c r="AD7" i="89" s="1"/>
  <c r="J8" i="89"/>
  <c r="J7" i="89" s="1"/>
  <c r="I8" i="89"/>
  <c r="H8" i="89"/>
  <c r="E8" i="89"/>
  <c r="E7" i="89" s="1"/>
  <c r="E3" i="89"/>
  <c r="H3" i="89"/>
  <c r="I3" i="89"/>
  <c r="J3" i="89"/>
  <c r="AD3" i="89"/>
  <c r="U3" i="89"/>
  <c r="K3" i="89"/>
  <c r="S3" i="89"/>
  <c r="T3" i="89"/>
  <c r="M3" i="89"/>
  <c r="O3" i="89"/>
  <c r="P3" i="89"/>
  <c r="AB3" i="89"/>
  <c r="AB5" i="89" s="1"/>
  <c r="L3" i="89"/>
  <c r="Y3" i="89"/>
  <c r="Q3" i="89"/>
  <c r="Z3" i="89"/>
  <c r="AA3" i="89"/>
  <c r="AC3" i="89"/>
  <c r="G30" i="41"/>
  <c r="G29" i="41"/>
  <c r="G24" i="41"/>
  <c r="G25" i="41"/>
  <c r="G26" i="41"/>
  <c r="G27" i="41"/>
  <c r="G28" i="41"/>
  <c r="G33" i="41"/>
  <c r="G36" i="41"/>
  <c r="G23" i="41"/>
  <c r="AY327" i="39"/>
  <c r="I49" i="6" s="1"/>
  <c r="AY309" i="39"/>
  <c r="I48" i="6" s="1"/>
  <c r="AY304" i="39"/>
  <c r="I47" i="6" s="1"/>
  <c r="AY290" i="39"/>
  <c r="I45" i="6" s="1"/>
  <c r="AY284" i="39"/>
  <c r="I44" i="6" s="1"/>
  <c r="AY279" i="39"/>
  <c r="I43" i="6" s="1"/>
  <c r="AY257" i="39"/>
  <c r="I41" i="6" s="1"/>
  <c r="AY253" i="39"/>
  <c r="I40" i="6" s="1"/>
  <c r="AY248" i="39"/>
  <c r="I39" i="6" s="1"/>
  <c r="AY244" i="39"/>
  <c r="I38" i="6" s="1"/>
  <c r="AY227" i="39"/>
  <c r="I37" i="6" s="1"/>
  <c r="AY210" i="39"/>
  <c r="I36" i="6" s="1"/>
  <c r="AY206" i="39"/>
  <c r="I35" i="6" s="1"/>
  <c r="AY177" i="39"/>
  <c r="I34" i="6" s="1"/>
  <c r="AY166" i="39"/>
  <c r="I33" i="6" s="1"/>
  <c r="AY157" i="39"/>
  <c r="I32" i="6" s="1"/>
  <c r="AY145" i="39"/>
  <c r="I31" i="6" s="1"/>
  <c r="AY136" i="39"/>
  <c r="I30" i="6" s="1"/>
  <c r="AY127" i="39"/>
  <c r="I29" i="6" s="1"/>
  <c r="AY101" i="39"/>
  <c r="I25" i="6" s="1"/>
  <c r="AY82" i="39"/>
  <c r="I24" i="6" s="1"/>
  <c r="AY63" i="39"/>
  <c r="I22" i="6" s="1"/>
  <c r="AY11" i="39"/>
  <c r="I20" i="6" s="1"/>
  <c r="B14" i="55"/>
  <c r="H5" i="39"/>
  <c r="C14" i="4"/>
  <c r="B6" i="39"/>
  <c r="O20" i="6"/>
  <c r="E13" i="55" s="1"/>
  <c r="C8" i="89"/>
  <c r="Q29" i="6"/>
  <c r="Q40" i="6"/>
  <c r="B4" i="39"/>
  <c r="Q23" i="6"/>
  <c r="Q24" i="6"/>
  <c r="Q25" i="6"/>
  <c r="Q30" i="6"/>
  <c r="Q31" i="6"/>
  <c r="Q33" i="6"/>
  <c r="Q34" i="6"/>
  <c r="Q36" i="6"/>
  <c r="Q37" i="6"/>
  <c r="Q38" i="6"/>
  <c r="Q39" i="6"/>
  <c r="Q41" i="6"/>
  <c r="Q43" i="6"/>
  <c r="Q44" i="6"/>
  <c r="Q45" i="6"/>
  <c r="Q48" i="6"/>
  <c r="Q49" i="6"/>
  <c r="E6" i="89"/>
  <c r="H6" i="89"/>
  <c r="I6" i="89"/>
  <c r="J6" i="89"/>
  <c r="AD6" i="89"/>
  <c r="U6" i="89"/>
  <c r="K6" i="89"/>
  <c r="S6" i="89"/>
  <c r="T6" i="89"/>
  <c r="M6" i="89"/>
  <c r="O6" i="89"/>
  <c r="P6" i="89"/>
  <c r="AB6" i="89"/>
  <c r="L6" i="89"/>
  <c r="Y6" i="89"/>
  <c r="Q6" i="89"/>
  <c r="Z6" i="89"/>
  <c r="AA6" i="89"/>
  <c r="AC6" i="89"/>
  <c r="C11" i="4"/>
  <c r="G25" i="51"/>
  <c r="D16" i="4"/>
  <c r="AM9" i="39"/>
  <c r="F16" i="55"/>
  <c r="L4" i="55"/>
  <c r="E40" i="55"/>
  <c r="B9" i="55"/>
  <c r="B8" i="55"/>
  <c r="B7" i="55"/>
  <c r="B6" i="55"/>
  <c r="G25" i="53"/>
  <c r="G26" i="53"/>
  <c r="G27" i="53"/>
  <c r="G30" i="53"/>
  <c r="G33" i="53"/>
  <c r="G34" i="53"/>
  <c r="G35" i="53"/>
  <c r="G38" i="53"/>
  <c r="G39" i="53"/>
  <c r="G24" i="58"/>
  <c r="G25" i="58"/>
  <c r="G26" i="58"/>
  <c r="G24" i="79"/>
  <c r="G26" i="79"/>
  <c r="G27" i="79"/>
  <c r="G24" i="56"/>
  <c r="G27" i="56"/>
  <c r="G29" i="56"/>
  <c r="G30" i="56"/>
  <c r="G34" i="56"/>
  <c r="G35" i="56"/>
  <c r="G36" i="56"/>
  <c r="G25" i="54"/>
  <c r="G24" i="68"/>
  <c r="G27" i="68"/>
  <c r="G28" i="68"/>
  <c r="G29" i="68"/>
  <c r="G30" i="68"/>
  <c r="G31" i="68"/>
  <c r="G32" i="68"/>
  <c r="G33" i="68"/>
  <c r="G35" i="68"/>
  <c r="G36" i="68"/>
  <c r="G37" i="68"/>
  <c r="G38" i="68"/>
  <c r="G24" i="60"/>
  <c r="G25" i="60"/>
  <c r="G26" i="60"/>
  <c r="G24" i="59"/>
  <c r="G25" i="59"/>
  <c r="G24" i="52"/>
  <c r="G25" i="52"/>
  <c r="G26" i="52"/>
  <c r="G27" i="52"/>
  <c r="G28" i="52"/>
  <c r="G31" i="52"/>
  <c r="G32" i="52"/>
  <c r="G33" i="52"/>
  <c r="G34" i="52"/>
  <c r="G35" i="52"/>
  <c r="G36" i="52"/>
  <c r="G37" i="52"/>
  <c r="G38" i="52"/>
  <c r="G39" i="52"/>
  <c r="G40" i="52"/>
  <c r="G42" i="52"/>
  <c r="G43" i="52"/>
  <c r="G45" i="52"/>
  <c r="G46" i="52"/>
  <c r="G50" i="52"/>
  <c r="G25" i="76"/>
  <c r="G26" i="76"/>
  <c r="G27" i="76"/>
  <c r="G29" i="76"/>
  <c r="G31" i="76"/>
  <c r="G32" i="76"/>
  <c r="CJ340" i="39"/>
  <c r="CI340" i="39"/>
  <c r="CH340" i="39"/>
  <c r="CG340" i="39"/>
  <c r="CF340" i="39"/>
  <c r="CE340" i="39"/>
  <c r="CD340" i="39"/>
  <c r="CC340" i="39"/>
  <c r="CB340" i="39"/>
  <c r="CA340" i="39"/>
  <c r="BZ340" i="39"/>
  <c r="BY340" i="39"/>
  <c r="CJ328" i="39"/>
  <c r="CI328" i="39"/>
  <c r="CH328" i="39"/>
  <c r="CG328" i="39"/>
  <c r="CF328" i="39"/>
  <c r="CE328" i="39"/>
  <c r="CD328" i="39"/>
  <c r="CC328" i="39"/>
  <c r="CB328" i="39"/>
  <c r="CA328" i="39"/>
  <c r="BZ328" i="39"/>
  <c r="BY328" i="39"/>
  <c r="CJ326" i="39"/>
  <c r="CI326" i="39"/>
  <c r="CH326" i="39"/>
  <c r="CG326" i="39"/>
  <c r="CF326" i="39"/>
  <c r="CE326" i="39"/>
  <c r="CD326" i="39"/>
  <c r="CC326" i="39"/>
  <c r="CB326" i="39"/>
  <c r="CA326" i="39"/>
  <c r="BZ326" i="39"/>
  <c r="BY326" i="39"/>
  <c r="CJ325" i="39"/>
  <c r="CI325" i="39"/>
  <c r="CH325" i="39"/>
  <c r="CG325" i="39"/>
  <c r="CF325" i="39"/>
  <c r="CE325" i="39"/>
  <c r="CD325" i="39"/>
  <c r="CC325" i="39"/>
  <c r="CB325" i="39"/>
  <c r="CA325" i="39"/>
  <c r="BZ325" i="39"/>
  <c r="BY325" i="39"/>
  <c r="CJ324" i="39"/>
  <c r="CI324" i="39"/>
  <c r="CH324" i="39"/>
  <c r="CG324" i="39"/>
  <c r="CF324" i="39"/>
  <c r="CE324" i="39"/>
  <c r="CD324" i="39"/>
  <c r="CC324" i="39"/>
  <c r="CB324" i="39"/>
  <c r="CA324" i="39"/>
  <c r="BZ324" i="39"/>
  <c r="BY324" i="39"/>
  <c r="CJ323" i="39"/>
  <c r="CI323" i="39"/>
  <c r="CH323" i="39"/>
  <c r="CG323" i="39"/>
  <c r="CF323" i="39"/>
  <c r="CE323" i="39"/>
  <c r="CD323" i="39"/>
  <c r="CC323" i="39"/>
  <c r="CB323" i="39"/>
  <c r="CA323" i="39"/>
  <c r="BZ323" i="39"/>
  <c r="BY323" i="39"/>
  <c r="CJ322" i="39"/>
  <c r="CI322" i="39"/>
  <c r="CH322" i="39"/>
  <c r="CG322" i="39"/>
  <c r="CF322" i="39"/>
  <c r="CE322" i="39"/>
  <c r="CD322" i="39"/>
  <c r="CC322" i="39"/>
  <c r="CB322" i="39"/>
  <c r="CA322" i="39"/>
  <c r="BZ322" i="39"/>
  <c r="BY322" i="39"/>
  <c r="CJ317" i="39"/>
  <c r="CI317" i="39"/>
  <c r="CH317" i="39"/>
  <c r="CG317" i="39"/>
  <c r="CF317" i="39"/>
  <c r="CE317" i="39"/>
  <c r="CD317" i="39"/>
  <c r="CC317" i="39"/>
  <c r="CB317" i="39"/>
  <c r="CA317" i="39"/>
  <c r="BZ317" i="39"/>
  <c r="BY317" i="39"/>
  <c r="CJ313" i="39"/>
  <c r="CI313" i="39"/>
  <c r="CH313" i="39"/>
  <c r="CG313" i="39"/>
  <c r="CF313" i="39"/>
  <c r="CE313" i="39"/>
  <c r="CD313" i="39"/>
  <c r="CC313" i="39"/>
  <c r="CB313" i="39"/>
  <c r="CA313" i="39"/>
  <c r="BZ313" i="39"/>
  <c r="BY313" i="39"/>
  <c r="CJ312" i="39"/>
  <c r="CI312" i="39"/>
  <c r="CH312" i="39"/>
  <c r="CG312" i="39"/>
  <c r="CF312" i="39"/>
  <c r="CE312" i="39"/>
  <c r="CD312" i="39"/>
  <c r="CC312" i="39"/>
  <c r="CB312" i="39"/>
  <c r="CA312" i="39"/>
  <c r="BZ312" i="39"/>
  <c r="BY312" i="39"/>
  <c r="CJ311" i="39"/>
  <c r="CI311" i="39"/>
  <c r="CH311" i="39"/>
  <c r="CG311" i="39"/>
  <c r="CF311" i="39"/>
  <c r="CE311" i="39"/>
  <c r="CD311" i="39"/>
  <c r="CC311" i="39"/>
  <c r="CB311" i="39"/>
  <c r="CA311" i="39"/>
  <c r="BZ311" i="39"/>
  <c r="BY311" i="39"/>
  <c r="CJ310" i="39"/>
  <c r="CI310" i="39"/>
  <c r="CH310" i="39"/>
  <c r="CG310" i="39"/>
  <c r="CF310" i="39"/>
  <c r="CE310" i="39"/>
  <c r="CD310" i="39"/>
  <c r="CC310" i="39"/>
  <c r="CB310" i="39"/>
  <c r="CA310" i="39"/>
  <c r="BZ310" i="39"/>
  <c r="BY310" i="39"/>
  <c r="CJ308" i="39"/>
  <c r="CI308" i="39"/>
  <c r="CH308" i="39"/>
  <c r="CG308" i="39"/>
  <c r="CF308" i="39"/>
  <c r="CE308" i="39"/>
  <c r="CD308" i="39"/>
  <c r="CC308" i="39"/>
  <c r="CB308" i="39"/>
  <c r="CA308" i="39"/>
  <c r="BZ308" i="39"/>
  <c r="BY308" i="39"/>
  <c r="CJ307" i="39"/>
  <c r="CI307" i="39"/>
  <c r="CH307" i="39"/>
  <c r="CG307" i="39"/>
  <c r="CF307" i="39"/>
  <c r="CE307" i="39"/>
  <c r="CD307" i="39"/>
  <c r="CC307" i="39"/>
  <c r="CB307" i="39"/>
  <c r="CA307" i="39"/>
  <c r="BZ307" i="39"/>
  <c r="BY307" i="39"/>
  <c r="CJ306" i="39"/>
  <c r="CI306" i="39"/>
  <c r="CH306" i="39"/>
  <c r="CG306" i="39"/>
  <c r="CF306" i="39"/>
  <c r="CE306" i="39"/>
  <c r="CD306" i="39"/>
  <c r="CC306" i="39"/>
  <c r="CB306" i="39"/>
  <c r="CA306" i="39"/>
  <c r="BZ306" i="39"/>
  <c r="BY306" i="39"/>
  <c r="CJ305" i="39"/>
  <c r="CI305" i="39"/>
  <c r="CH305" i="39"/>
  <c r="CG305" i="39"/>
  <c r="CF305" i="39"/>
  <c r="CE305" i="39"/>
  <c r="CD305" i="39"/>
  <c r="CC305" i="39"/>
  <c r="CB305" i="39"/>
  <c r="CA305" i="39"/>
  <c r="BZ305" i="39"/>
  <c r="BY305" i="39"/>
  <c r="CJ296" i="39"/>
  <c r="CI296" i="39"/>
  <c r="CH296" i="39"/>
  <c r="CG296" i="39"/>
  <c r="CF296" i="39"/>
  <c r="CE296" i="39"/>
  <c r="CD296" i="39"/>
  <c r="CC296" i="39"/>
  <c r="CB296" i="39"/>
  <c r="CA296" i="39"/>
  <c r="BZ296" i="39"/>
  <c r="BY296" i="39"/>
  <c r="CJ295" i="39"/>
  <c r="CI295" i="39"/>
  <c r="CH295" i="39"/>
  <c r="CG295" i="39"/>
  <c r="CF295" i="39"/>
  <c r="CE295" i="39"/>
  <c r="CD295" i="39"/>
  <c r="CC295" i="39"/>
  <c r="CB295" i="39"/>
  <c r="CA295" i="39"/>
  <c r="BZ295" i="39"/>
  <c r="BY295" i="39"/>
  <c r="CJ294" i="39"/>
  <c r="CI294" i="39"/>
  <c r="CH294" i="39"/>
  <c r="CG294" i="39"/>
  <c r="CF294" i="39"/>
  <c r="CE294" i="39"/>
  <c r="CD294" i="39"/>
  <c r="CC294" i="39"/>
  <c r="CB294" i="39"/>
  <c r="CA294" i="39"/>
  <c r="BZ294" i="39"/>
  <c r="BY294" i="39"/>
  <c r="CJ293" i="39"/>
  <c r="CI293" i="39"/>
  <c r="CH293" i="39"/>
  <c r="CG293" i="39"/>
  <c r="CF293" i="39"/>
  <c r="CE293" i="39"/>
  <c r="CD293" i="39"/>
  <c r="CC293" i="39"/>
  <c r="CB293" i="39"/>
  <c r="CA293" i="39"/>
  <c r="BZ293" i="39"/>
  <c r="BY293" i="39"/>
  <c r="CJ292" i="39"/>
  <c r="CI292" i="39"/>
  <c r="CH292" i="39"/>
  <c r="CG292" i="39"/>
  <c r="CF292" i="39"/>
  <c r="CE292" i="39"/>
  <c r="CD292" i="39"/>
  <c r="CC292" i="39"/>
  <c r="CB292" i="39"/>
  <c r="CA292" i="39"/>
  <c r="BZ292" i="39"/>
  <c r="BY292" i="39"/>
  <c r="CJ291" i="39"/>
  <c r="CI291" i="39"/>
  <c r="CH291" i="39"/>
  <c r="CG291" i="39"/>
  <c r="CF291" i="39"/>
  <c r="CE291" i="39"/>
  <c r="CD291" i="39"/>
  <c r="CC291" i="39"/>
  <c r="CB291" i="39"/>
  <c r="CA291" i="39"/>
  <c r="BZ291" i="39"/>
  <c r="BY291" i="39"/>
  <c r="CJ289" i="39"/>
  <c r="CI289" i="39"/>
  <c r="CH289" i="39"/>
  <c r="CG289" i="39"/>
  <c r="CF289" i="39"/>
  <c r="CE289" i="39"/>
  <c r="CD289" i="39"/>
  <c r="CC289" i="39"/>
  <c r="CB289" i="39"/>
  <c r="CA289" i="39"/>
  <c r="BZ289" i="39"/>
  <c r="BY289" i="39"/>
  <c r="CJ288" i="39"/>
  <c r="CI288" i="39"/>
  <c r="CH288" i="39"/>
  <c r="CG288" i="39"/>
  <c r="CF288" i="39"/>
  <c r="CE288" i="39"/>
  <c r="CD288" i="39"/>
  <c r="CC288" i="39"/>
  <c r="CB288" i="39"/>
  <c r="CA288" i="39"/>
  <c r="BZ288" i="39"/>
  <c r="BY288" i="39"/>
  <c r="CJ286" i="39"/>
  <c r="CI286" i="39"/>
  <c r="CH286" i="39"/>
  <c r="CG286" i="39"/>
  <c r="CF286" i="39"/>
  <c r="CE286" i="39"/>
  <c r="CD286" i="39"/>
  <c r="CC286" i="39"/>
  <c r="CB286" i="39"/>
  <c r="CA286" i="39"/>
  <c r="BZ286" i="39"/>
  <c r="BY286" i="39"/>
  <c r="CJ285" i="39"/>
  <c r="CI285" i="39"/>
  <c r="CH285" i="39"/>
  <c r="CG285" i="39"/>
  <c r="CF285" i="39"/>
  <c r="CE285" i="39"/>
  <c r="CD285" i="39"/>
  <c r="CC285" i="39"/>
  <c r="CB285" i="39"/>
  <c r="CA285" i="39"/>
  <c r="BZ285" i="39"/>
  <c r="BY285" i="39"/>
  <c r="CJ283" i="39"/>
  <c r="CI283" i="39"/>
  <c r="CH283" i="39"/>
  <c r="CG283" i="39"/>
  <c r="CF283" i="39"/>
  <c r="CE283" i="39"/>
  <c r="CD283" i="39"/>
  <c r="CC283" i="39"/>
  <c r="CB283" i="39"/>
  <c r="CA283" i="39"/>
  <c r="BZ283" i="39"/>
  <c r="BY283" i="39"/>
  <c r="CJ280" i="39"/>
  <c r="CI280" i="39"/>
  <c r="CH280" i="39"/>
  <c r="CG280" i="39"/>
  <c r="CF280" i="39"/>
  <c r="CE280" i="39"/>
  <c r="CD280" i="39"/>
  <c r="CC280" i="39"/>
  <c r="CB280" i="39"/>
  <c r="CA280" i="39"/>
  <c r="BZ280" i="39"/>
  <c r="BY280" i="39"/>
  <c r="CJ271" i="39"/>
  <c r="CI271" i="39"/>
  <c r="CH271" i="39"/>
  <c r="CG271" i="39"/>
  <c r="CF271" i="39"/>
  <c r="CE271" i="39"/>
  <c r="CD271" i="39"/>
  <c r="CC271" i="39"/>
  <c r="CB271" i="39"/>
  <c r="CA271" i="39"/>
  <c r="BZ271" i="39"/>
  <c r="BY271" i="39"/>
  <c r="CJ270" i="39"/>
  <c r="CI270" i="39"/>
  <c r="CH270" i="39"/>
  <c r="CG270" i="39"/>
  <c r="CF270" i="39"/>
  <c r="CE270" i="39"/>
  <c r="CD270" i="39"/>
  <c r="CC270" i="39"/>
  <c r="CB270" i="39"/>
  <c r="CA270" i="39"/>
  <c r="BZ270" i="39"/>
  <c r="BY270" i="39"/>
  <c r="CJ269" i="39"/>
  <c r="CI269" i="39"/>
  <c r="CH269" i="39"/>
  <c r="CG269" i="39"/>
  <c r="CF269" i="39"/>
  <c r="CE269" i="39"/>
  <c r="CD269" i="39"/>
  <c r="CC269" i="39"/>
  <c r="CB269" i="39"/>
  <c r="CA269" i="39"/>
  <c r="BZ269" i="39"/>
  <c r="BY269" i="39"/>
  <c r="CJ268" i="39"/>
  <c r="CI268" i="39"/>
  <c r="CH268" i="39"/>
  <c r="CG268" i="39"/>
  <c r="CF268" i="39"/>
  <c r="CE268" i="39"/>
  <c r="CD268" i="39"/>
  <c r="CC268" i="39"/>
  <c r="CB268" i="39"/>
  <c r="CA268" i="39"/>
  <c r="BZ268" i="39"/>
  <c r="BY268" i="39"/>
  <c r="CJ263" i="39"/>
  <c r="CI263" i="39"/>
  <c r="CH263" i="39"/>
  <c r="CG263" i="39"/>
  <c r="CF263" i="39"/>
  <c r="CE263" i="39"/>
  <c r="CD263" i="39"/>
  <c r="CC263" i="39"/>
  <c r="CB263" i="39"/>
  <c r="CA263" i="39"/>
  <c r="BZ263" i="39"/>
  <c r="BY263" i="39"/>
  <c r="CJ261" i="39"/>
  <c r="CI261" i="39"/>
  <c r="CH261" i="39"/>
  <c r="CG261" i="39"/>
  <c r="CF261" i="39"/>
  <c r="CE261" i="39"/>
  <c r="CD261" i="39"/>
  <c r="CC261" i="39"/>
  <c r="CB261" i="39"/>
  <c r="CA261" i="39"/>
  <c r="BZ261" i="39"/>
  <c r="BY261" i="39"/>
  <c r="CJ260" i="39"/>
  <c r="CI260" i="39"/>
  <c r="CH260" i="39"/>
  <c r="CG260" i="39"/>
  <c r="CF260" i="39"/>
  <c r="CE260" i="39"/>
  <c r="CD260" i="39"/>
  <c r="CC260" i="39"/>
  <c r="CB260" i="39"/>
  <c r="CA260" i="39"/>
  <c r="BZ260" i="39"/>
  <c r="BY260" i="39"/>
  <c r="CJ259" i="39"/>
  <c r="CI259" i="39"/>
  <c r="CH259" i="39"/>
  <c r="CG259" i="39"/>
  <c r="CF259" i="39"/>
  <c r="CE259" i="39"/>
  <c r="CD259" i="39"/>
  <c r="CC259" i="39"/>
  <c r="CB259" i="39"/>
  <c r="CA259" i="39"/>
  <c r="BZ259" i="39"/>
  <c r="BY259" i="39"/>
  <c r="CJ258" i="39"/>
  <c r="CI258" i="39"/>
  <c r="CH258" i="39"/>
  <c r="CG258" i="39"/>
  <c r="CF258" i="39"/>
  <c r="CE258" i="39"/>
  <c r="CD258" i="39"/>
  <c r="CC258" i="39"/>
  <c r="CB258" i="39"/>
  <c r="CA258" i="39"/>
  <c r="BZ258" i="39"/>
  <c r="BY258" i="39"/>
  <c r="CJ255" i="39"/>
  <c r="CI255" i="39"/>
  <c r="CH255" i="39"/>
  <c r="CG255" i="39"/>
  <c r="CF255" i="39"/>
  <c r="CE255" i="39"/>
  <c r="CD255" i="39"/>
  <c r="CC255" i="39"/>
  <c r="CB255" i="39"/>
  <c r="CA255" i="39"/>
  <c r="BZ255" i="39"/>
  <c r="BY255" i="39"/>
  <c r="CJ254" i="39"/>
  <c r="CI254" i="39"/>
  <c r="CH254" i="39"/>
  <c r="CG254" i="39"/>
  <c r="CF254" i="39"/>
  <c r="CE254" i="39"/>
  <c r="CD254" i="39"/>
  <c r="CC254" i="39"/>
  <c r="CB254" i="39"/>
  <c r="CA254" i="39"/>
  <c r="BZ254" i="39"/>
  <c r="BY254" i="39"/>
  <c r="CJ252" i="39"/>
  <c r="CI252" i="39"/>
  <c r="CH252" i="39"/>
  <c r="CG252" i="39"/>
  <c r="CF252" i="39"/>
  <c r="CE252" i="39"/>
  <c r="CD252" i="39"/>
  <c r="CC252" i="39"/>
  <c r="CB252" i="39"/>
  <c r="CA252" i="39"/>
  <c r="BZ252" i="39"/>
  <c r="BY252" i="39"/>
  <c r="CJ251" i="39"/>
  <c r="CI251" i="39"/>
  <c r="CH251" i="39"/>
  <c r="CG251" i="39"/>
  <c r="CF251" i="39"/>
  <c r="CE251" i="39"/>
  <c r="CD251" i="39"/>
  <c r="CC251" i="39"/>
  <c r="CB251" i="39"/>
  <c r="CA251" i="39"/>
  <c r="BZ251" i="39"/>
  <c r="BY251" i="39"/>
  <c r="CJ250" i="39"/>
  <c r="CI250" i="39"/>
  <c r="CH250" i="39"/>
  <c r="CG250" i="39"/>
  <c r="CF250" i="39"/>
  <c r="CE250" i="39"/>
  <c r="CD250" i="39"/>
  <c r="CC250" i="39"/>
  <c r="CB250" i="39"/>
  <c r="CA250" i="39"/>
  <c r="BZ250" i="39"/>
  <c r="BY250" i="39"/>
  <c r="CJ249" i="39"/>
  <c r="CI249" i="39"/>
  <c r="CH249" i="39"/>
  <c r="CG249" i="39"/>
  <c r="CF249" i="39"/>
  <c r="CE249" i="39"/>
  <c r="CD249" i="39"/>
  <c r="CC249" i="39"/>
  <c r="CB249" i="39"/>
  <c r="CA249" i="39"/>
  <c r="BZ249" i="39"/>
  <c r="BY249" i="39"/>
  <c r="CJ247" i="39"/>
  <c r="CI247" i="39"/>
  <c r="CH247" i="39"/>
  <c r="CG247" i="39"/>
  <c r="CF247" i="39"/>
  <c r="CE247" i="39"/>
  <c r="CD247" i="39"/>
  <c r="CC247" i="39"/>
  <c r="CB247" i="39"/>
  <c r="CA247" i="39"/>
  <c r="BZ247" i="39"/>
  <c r="BY247" i="39"/>
  <c r="CJ245" i="39"/>
  <c r="CI245" i="39"/>
  <c r="CH245" i="39"/>
  <c r="CG245" i="39"/>
  <c r="CF245" i="39"/>
  <c r="CE245" i="39"/>
  <c r="CD245" i="39"/>
  <c r="CC245" i="39"/>
  <c r="CB245" i="39"/>
  <c r="CA245" i="39"/>
  <c r="BZ245" i="39"/>
  <c r="BY245" i="39"/>
  <c r="CJ243" i="39"/>
  <c r="CI243" i="39"/>
  <c r="CH243" i="39"/>
  <c r="CG243" i="39"/>
  <c r="CF243" i="39"/>
  <c r="CE243" i="39"/>
  <c r="CD243" i="39"/>
  <c r="CC243" i="39"/>
  <c r="CB243" i="39"/>
  <c r="CA243" i="39"/>
  <c r="BZ243" i="39"/>
  <c r="BY243" i="39"/>
  <c r="CJ242" i="39"/>
  <c r="CI242" i="39"/>
  <c r="CH242" i="39"/>
  <c r="CG242" i="39"/>
  <c r="CF242" i="39"/>
  <c r="CE242" i="39"/>
  <c r="CD242" i="39"/>
  <c r="CC242" i="39"/>
  <c r="CB242" i="39"/>
  <c r="CA242" i="39"/>
  <c r="BZ242" i="39"/>
  <c r="BY242" i="39"/>
  <c r="CJ241" i="39"/>
  <c r="CI241" i="39"/>
  <c r="CH241" i="39"/>
  <c r="CG241" i="39"/>
  <c r="CF241" i="39"/>
  <c r="CE241" i="39"/>
  <c r="CD241" i="39"/>
  <c r="CC241" i="39"/>
  <c r="CB241" i="39"/>
  <c r="CA241" i="39"/>
  <c r="BZ241" i="39"/>
  <c r="BY241" i="39"/>
  <c r="CJ240" i="39"/>
  <c r="CI240" i="39"/>
  <c r="CH240" i="39"/>
  <c r="CG240" i="39"/>
  <c r="CF240" i="39"/>
  <c r="CE240" i="39"/>
  <c r="CD240" i="39"/>
  <c r="CC240" i="39"/>
  <c r="CB240" i="39"/>
  <c r="CA240" i="39"/>
  <c r="BZ240" i="39"/>
  <c r="BY240" i="39"/>
  <c r="CJ239" i="39"/>
  <c r="CI239" i="39"/>
  <c r="CH239" i="39"/>
  <c r="CG239" i="39"/>
  <c r="CF239" i="39"/>
  <c r="CE239" i="39"/>
  <c r="CD239" i="39"/>
  <c r="CC239" i="39"/>
  <c r="CB239" i="39"/>
  <c r="CA239" i="39"/>
  <c r="BZ239" i="39"/>
  <c r="BY239" i="39"/>
  <c r="CJ238" i="39"/>
  <c r="CI238" i="39"/>
  <c r="CH238" i="39"/>
  <c r="CG238" i="39"/>
  <c r="CF238" i="39"/>
  <c r="CE238" i="39"/>
  <c r="CD238" i="39"/>
  <c r="CC238" i="39"/>
  <c r="CB238" i="39"/>
  <c r="CA238" i="39"/>
  <c r="BZ238" i="39"/>
  <c r="BY238" i="39"/>
  <c r="CJ237" i="39"/>
  <c r="CI237" i="39"/>
  <c r="CH237" i="39"/>
  <c r="CG237" i="39"/>
  <c r="CF237" i="39"/>
  <c r="CE237" i="39"/>
  <c r="CD237" i="39"/>
  <c r="CC237" i="39"/>
  <c r="CB237" i="39"/>
  <c r="CA237" i="39"/>
  <c r="BZ237" i="39"/>
  <c r="BY237" i="39"/>
  <c r="CJ236" i="39"/>
  <c r="CI236" i="39"/>
  <c r="CH236" i="39"/>
  <c r="CG236" i="39"/>
  <c r="CF236" i="39"/>
  <c r="CE236" i="39"/>
  <c r="CD236" i="39"/>
  <c r="CC236" i="39"/>
  <c r="CB236" i="39"/>
  <c r="CA236" i="39"/>
  <c r="BZ236" i="39"/>
  <c r="BY236" i="39"/>
  <c r="CJ232" i="39"/>
  <c r="CI232" i="39"/>
  <c r="CH232" i="39"/>
  <c r="CG232" i="39"/>
  <c r="CF232" i="39"/>
  <c r="CE232" i="39"/>
  <c r="CD232" i="39"/>
  <c r="CC232" i="39"/>
  <c r="CB232" i="39"/>
  <c r="CA232" i="39"/>
  <c r="BZ232" i="39"/>
  <c r="BY232" i="39"/>
  <c r="CJ231" i="39"/>
  <c r="CI231" i="39"/>
  <c r="CH231" i="39"/>
  <c r="CG231" i="39"/>
  <c r="CF231" i="39"/>
  <c r="CE231" i="39"/>
  <c r="CD231" i="39"/>
  <c r="CC231" i="39"/>
  <c r="CB231" i="39"/>
  <c r="CA231" i="39"/>
  <c r="BZ231" i="39"/>
  <c r="BY231" i="39"/>
  <c r="CJ230" i="39"/>
  <c r="CI230" i="39"/>
  <c r="CH230" i="39"/>
  <c r="CG230" i="39"/>
  <c r="CF230" i="39"/>
  <c r="CE230" i="39"/>
  <c r="CD230" i="39"/>
  <c r="CC230" i="39"/>
  <c r="CB230" i="39"/>
  <c r="CA230" i="39"/>
  <c r="BZ230" i="39"/>
  <c r="BY230" i="39"/>
  <c r="CJ229" i="39"/>
  <c r="CI229" i="39"/>
  <c r="CH229" i="39"/>
  <c r="CG229" i="39"/>
  <c r="CF229" i="39"/>
  <c r="CE229" i="39"/>
  <c r="CD229" i="39"/>
  <c r="CC229" i="39"/>
  <c r="CB229" i="39"/>
  <c r="CA229" i="39"/>
  <c r="BZ229" i="39"/>
  <c r="BY229" i="39"/>
  <c r="CJ228" i="39"/>
  <c r="CI228" i="39"/>
  <c r="CH228" i="39"/>
  <c r="CG228" i="39"/>
  <c r="CF228" i="39"/>
  <c r="CE228" i="39"/>
  <c r="CD228" i="39"/>
  <c r="CC228" i="39"/>
  <c r="CB228" i="39"/>
  <c r="CA228" i="39"/>
  <c r="BZ228" i="39"/>
  <c r="BY228" i="39"/>
  <c r="CJ226" i="39"/>
  <c r="CI226" i="39"/>
  <c r="CH226" i="39"/>
  <c r="CG226" i="39"/>
  <c r="CF226" i="39"/>
  <c r="CE226" i="39"/>
  <c r="CD226" i="39"/>
  <c r="CC226" i="39"/>
  <c r="CB226" i="39"/>
  <c r="CA226" i="39"/>
  <c r="BZ226" i="39"/>
  <c r="BY226" i="39"/>
  <c r="CJ216" i="39"/>
  <c r="CI216" i="39"/>
  <c r="CH216" i="39"/>
  <c r="CG216" i="39"/>
  <c r="CF216" i="39"/>
  <c r="CE216" i="39"/>
  <c r="CD216" i="39"/>
  <c r="CC216" i="39"/>
  <c r="CB216" i="39"/>
  <c r="CA216" i="39"/>
  <c r="BZ216" i="39"/>
  <c r="BY216" i="39"/>
  <c r="CJ213" i="39"/>
  <c r="CI213" i="39"/>
  <c r="CH213" i="39"/>
  <c r="CG213" i="39"/>
  <c r="CF213" i="39"/>
  <c r="CE213" i="39"/>
  <c r="CD213" i="39"/>
  <c r="CC213" i="39"/>
  <c r="CB213" i="39"/>
  <c r="CA213" i="39"/>
  <c r="BZ213" i="39"/>
  <c r="BY213" i="39"/>
  <c r="CJ212" i="39"/>
  <c r="CI212" i="39"/>
  <c r="CH212" i="39"/>
  <c r="CG212" i="39"/>
  <c r="CF212" i="39"/>
  <c r="CE212" i="39"/>
  <c r="CD212" i="39"/>
  <c r="CC212" i="39"/>
  <c r="CB212" i="39"/>
  <c r="CA212" i="39"/>
  <c r="BZ212" i="39"/>
  <c r="BY212" i="39"/>
  <c r="CJ211" i="39"/>
  <c r="CI211" i="39"/>
  <c r="CH211" i="39"/>
  <c r="CG211" i="39"/>
  <c r="CF211" i="39"/>
  <c r="CE211" i="39"/>
  <c r="CD211" i="39"/>
  <c r="CC211" i="39"/>
  <c r="CB211" i="39"/>
  <c r="CA211" i="39"/>
  <c r="BZ211" i="39"/>
  <c r="BY211" i="39"/>
  <c r="CJ209" i="39"/>
  <c r="CI209" i="39"/>
  <c r="CH209" i="39"/>
  <c r="CG209" i="39"/>
  <c r="CF209" i="39"/>
  <c r="CE209" i="39"/>
  <c r="CD209" i="39"/>
  <c r="CC209" i="39"/>
  <c r="CB209" i="39"/>
  <c r="CA209" i="39"/>
  <c r="BZ209" i="39"/>
  <c r="BY209" i="39"/>
  <c r="CJ208" i="39"/>
  <c r="CI208" i="39"/>
  <c r="CH208" i="39"/>
  <c r="CG208" i="39"/>
  <c r="CF208" i="39"/>
  <c r="CE208" i="39"/>
  <c r="CD208" i="39"/>
  <c r="CC208" i="39"/>
  <c r="CB208" i="39"/>
  <c r="CA208" i="39"/>
  <c r="BZ208" i="39"/>
  <c r="BY208" i="39"/>
  <c r="CJ207" i="39"/>
  <c r="CI207" i="39"/>
  <c r="CH207" i="39"/>
  <c r="CG207" i="39"/>
  <c r="CF207" i="39"/>
  <c r="CE207" i="39"/>
  <c r="CD207" i="39"/>
  <c r="CC207" i="39"/>
  <c r="CB207" i="39"/>
  <c r="CA207" i="39"/>
  <c r="BZ207" i="39"/>
  <c r="BY207" i="39"/>
  <c r="CJ205" i="39"/>
  <c r="CI205" i="39"/>
  <c r="CH205" i="39"/>
  <c r="CG205" i="39"/>
  <c r="CF205" i="39"/>
  <c r="CE205" i="39"/>
  <c r="CD205" i="39"/>
  <c r="CC205" i="39"/>
  <c r="CB205" i="39"/>
  <c r="CA205" i="39"/>
  <c r="BZ205" i="39"/>
  <c r="BY205" i="39"/>
  <c r="CJ204" i="39"/>
  <c r="CI204" i="39"/>
  <c r="CH204" i="39"/>
  <c r="CG204" i="39"/>
  <c r="CF204" i="39"/>
  <c r="CE204" i="39"/>
  <c r="CD204" i="39"/>
  <c r="CC204" i="39"/>
  <c r="CB204" i="39"/>
  <c r="CA204" i="39"/>
  <c r="BZ204" i="39"/>
  <c r="BY204" i="39"/>
  <c r="CJ203" i="39"/>
  <c r="CI203" i="39"/>
  <c r="CH203" i="39"/>
  <c r="CG203" i="39"/>
  <c r="CF203" i="39"/>
  <c r="CE203" i="39"/>
  <c r="CD203" i="39"/>
  <c r="CC203" i="39"/>
  <c r="CB203" i="39"/>
  <c r="CA203" i="39"/>
  <c r="BZ203" i="39"/>
  <c r="BY203" i="39"/>
  <c r="CJ202" i="39"/>
  <c r="CI202" i="39"/>
  <c r="CH202" i="39"/>
  <c r="CG202" i="39"/>
  <c r="CF202" i="39"/>
  <c r="CE202" i="39"/>
  <c r="CD202" i="39"/>
  <c r="CC202" i="39"/>
  <c r="CB202" i="39"/>
  <c r="CA202" i="39"/>
  <c r="BZ202" i="39"/>
  <c r="BY202" i="39"/>
  <c r="CJ201" i="39"/>
  <c r="CI201" i="39"/>
  <c r="CH201" i="39"/>
  <c r="CG201" i="39"/>
  <c r="CF201" i="39"/>
  <c r="CE201" i="39"/>
  <c r="CD201" i="39"/>
  <c r="CC201" i="39"/>
  <c r="CB201" i="39"/>
  <c r="CA201" i="39"/>
  <c r="BZ201" i="39"/>
  <c r="BY201" i="39"/>
  <c r="CJ200" i="39"/>
  <c r="CI200" i="39"/>
  <c r="CH200" i="39"/>
  <c r="CG200" i="39"/>
  <c r="CF200" i="39"/>
  <c r="CE200" i="39"/>
  <c r="CD200" i="39"/>
  <c r="CC200" i="39"/>
  <c r="CB200" i="39"/>
  <c r="CA200" i="39"/>
  <c r="BZ200" i="39"/>
  <c r="BY200" i="39"/>
  <c r="CJ199" i="39"/>
  <c r="CI199" i="39"/>
  <c r="CH199" i="39"/>
  <c r="CG199" i="39"/>
  <c r="CF199" i="39"/>
  <c r="CE199" i="39"/>
  <c r="CD199" i="39"/>
  <c r="CC199" i="39"/>
  <c r="CB199" i="39"/>
  <c r="CA199" i="39"/>
  <c r="BZ199" i="39"/>
  <c r="BY199" i="39"/>
  <c r="CJ198" i="39"/>
  <c r="CI198" i="39"/>
  <c r="CH198" i="39"/>
  <c r="CG198" i="39"/>
  <c r="CF198" i="39"/>
  <c r="CE198" i="39"/>
  <c r="CD198" i="39"/>
  <c r="CC198" i="39"/>
  <c r="CB198" i="39"/>
  <c r="CA198" i="39"/>
  <c r="BZ198" i="39"/>
  <c r="BY198" i="39"/>
  <c r="CJ197" i="39"/>
  <c r="CI197" i="39"/>
  <c r="CH197" i="39"/>
  <c r="CG197" i="39"/>
  <c r="CF197" i="39"/>
  <c r="CE197" i="39"/>
  <c r="CD197" i="39"/>
  <c r="CC197" i="39"/>
  <c r="CB197" i="39"/>
  <c r="CA197" i="39"/>
  <c r="BZ197" i="39"/>
  <c r="BY197" i="39"/>
  <c r="CJ196" i="39"/>
  <c r="CI196" i="39"/>
  <c r="CH196" i="39"/>
  <c r="CG196" i="39"/>
  <c r="CF196" i="39"/>
  <c r="CE196" i="39"/>
  <c r="CD196" i="39"/>
  <c r="CC196" i="39"/>
  <c r="CB196" i="39"/>
  <c r="CA196" i="39"/>
  <c r="BZ196" i="39"/>
  <c r="BY196" i="39"/>
  <c r="CJ195" i="39"/>
  <c r="CI195" i="39"/>
  <c r="CH195" i="39"/>
  <c r="CG195" i="39"/>
  <c r="CF195" i="39"/>
  <c r="CE195" i="39"/>
  <c r="CD195" i="39"/>
  <c r="CC195" i="39"/>
  <c r="CB195" i="39"/>
  <c r="CA195" i="39"/>
  <c r="BZ195" i="39"/>
  <c r="BY195" i="39"/>
  <c r="CJ194" i="39"/>
  <c r="CI194" i="39"/>
  <c r="CH194" i="39"/>
  <c r="CG194" i="39"/>
  <c r="CF194" i="39"/>
  <c r="CE194" i="39"/>
  <c r="CD194" i="39"/>
  <c r="CC194" i="39"/>
  <c r="CB194" i="39"/>
  <c r="CA194" i="39"/>
  <c r="BZ194" i="39"/>
  <c r="BY194" i="39"/>
  <c r="CJ193" i="39"/>
  <c r="CI193" i="39"/>
  <c r="CH193" i="39"/>
  <c r="CG193" i="39"/>
  <c r="CF193" i="39"/>
  <c r="CE193" i="39"/>
  <c r="CD193" i="39"/>
  <c r="CC193" i="39"/>
  <c r="CB193" i="39"/>
  <c r="CA193" i="39"/>
  <c r="BZ193" i="39"/>
  <c r="BY193" i="39"/>
  <c r="CJ186" i="39"/>
  <c r="CI186" i="39"/>
  <c r="CH186" i="39"/>
  <c r="CG186" i="39"/>
  <c r="CF186" i="39"/>
  <c r="CE186" i="39"/>
  <c r="CD186" i="39"/>
  <c r="CC186" i="39"/>
  <c r="CB186" i="39"/>
  <c r="CA186" i="39"/>
  <c r="BZ186" i="39"/>
  <c r="BY186" i="39"/>
  <c r="CJ184" i="39"/>
  <c r="CI184" i="39"/>
  <c r="CH184" i="39"/>
  <c r="CG184" i="39"/>
  <c r="CF184" i="39"/>
  <c r="CE184" i="39"/>
  <c r="CD184" i="39"/>
  <c r="CC184" i="39"/>
  <c r="CB184" i="39"/>
  <c r="CA184" i="39"/>
  <c r="BZ184" i="39"/>
  <c r="BY184" i="39"/>
  <c r="CJ183" i="39"/>
  <c r="CI183" i="39"/>
  <c r="CH183" i="39"/>
  <c r="CG183" i="39"/>
  <c r="CF183" i="39"/>
  <c r="CE183" i="39"/>
  <c r="CD183" i="39"/>
  <c r="CC183" i="39"/>
  <c r="CB183" i="39"/>
  <c r="CA183" i="39"/>
  <c r="BZ183" i="39"/>
  <c r="BY183" i="39"/>
  <c r="CJ182" i="39"/>
  <c r="CI182" i="39"/>
  <c r="CH182" i="39"/>
  <c r="CG182" i="39"/>
  <c r="CF182" i="39"/>
  <c r="CE182" i="39"/>
  <c r="CD182" i="39"/>
  <c r="CC182" i="39"/>
  <c r="CB182" i="39"/>
  <c r="CA182" i="39"/>
  <c r="BZ182" i="39"/>
  <c r="BY182" i="39"/>
  <c r="CJ181" i="39"/>
  <c r="CI181" i="39"/>
  <c r="CH181" i="39"/>
  <c r="CG181" i="39"/>
  <c r="CF181" i="39"/>
  <c r="CE181" i="39"/>
  <c r="CD181" i="39"/>
  <c r="CC181" i="39"/>
  <c r="CB181" i="39"/>
  <c r="CA181" i="39"/>
  <c r="BZ181" i="39"/>
  <c r="BY181" i="39"/>
  <c r="CJ180" i="39"/>
  <c r="CI180" i="39"/>
  <c r="CH180" i="39"/>
  <c r="CG180" i="39"/>
  <c r="CF180" i="39"/>
  <c r="CE180" i="39"/>
  <c r="CD180" i="39"/>
  <c r="CC180" i="39"/>
  <c r="CB180" i="39"/>
  <c r="CA180" i="39"/>
  <c r="BZ180" i="39"/>
  <c r="BY180" i="39"/>
  <c r="CJ179" i="39"/>
  <c r="CI179" i="39"/>
  <c r="CH179" i="39"/>
  <c r="CG179" i="39"/>
  <c r="CF179" i="39"/>
  <c r="CE179" i="39"/>
  <c r="CD179" i="39"/>
  <c r="CC179" i="39"/>
  <c r="CB179" i="39"/>
  <c r="CA179" i="39"/>
  <c r="BZ179" i="39"/>
  <c r="BY179" i="39"/>
  <c r="CJ178" i="39"/>
  <c r="CI178" i="39"/>
  <c r="CH178" i="39"/>
  <c r="CG178" i="39"/>
  <c r="CF178" i="39"/>
  <c r="CE178" i="39"/>
  <c r="CD178" i="39"/>
  <c r="CC178" i="39"/>
  <c r="CB178" i="39"/>
  <c r="CA178" i="39"/>
  <c r="BZ178" i="39"/>
  <c r="BY178" i="39"/>
  <c r="CJ176" i="39"/>
  <c r="CI176" i="39"/>
  <c r="CH176" i="39"/>
  <c r="CG176" i="39"/>
  <c r="CF176" i="39"/>
  <c r="CE176" i="39"/>
  <c r="CD176" i="39"/>
  <c r="CC176" i="39"/>
  <c r="CB176" i="39"/>
  <c r="CA176" i="39"/>
  <c r="BZ176" i="39"/>
  <c r="BY176" i="39"/>
  <c r="CJ175" i="39"/>
  <c r="CI175" i="39"/>
  <c r="CH175" i="39"/>
  <c r="CG175" i="39"/>
  <c r="CF175" i="39"/>
  <c r="CE175" i="39"/>
  <c r="CD175" i="39"/>
  <c r="CC175" i="39"/>
  <c r="CB175" i="39"/>
  <c r="CA175" i="39"/>
  <c r="BZ175" i="39"/>
  <c r="BY175" i="39"/>
  <c r="CJ174" i="39"/>
  <c r="CI174" i="39"/>
  <c r="CH174" i="39"/>
  <c r="CG174" i="39"/>
  <c r="CF174" i="39"/>
  <c r="CE174" i="39"/>
  <c r="CD174" i="39"/>
  <c r="CC174" i="39"/>
  <c r="CB174" i="39"/>
  <c r="CA174" i="39"/>
  <c r="BZ174" i="39"/>
  <c r="BY174" i="39"/>
  <c r="CJ173" i="39"/>
  <c r="CI173" i="39"/>
  <c r="CH173" i="39"/>
  <c r="CG173" i="39"/>
  <c r="CF173" i="39"/>
  <c r="CE173" i="39"/>
  <c r="CD173" i="39"/>
  <c r="CC173" i="39"/>
  <c r="CB173" i="39"/>
  <c r="CA173" i="39"/>
  <c r="BZ173" i="39"/>
  <c r="BY173" i="39"/>
  <c r="CJ171" i="39"/>
  <c r="CI171" i="39"/>
  <c r="CH171" i="39"/>
  <c r="CG171" i="39"/>
  <c r="CF171" i="39"/>
  <c r="CE171" i="39"/>
  <c r="CD171" i="39"/>
  <c r="CC171" i="39"/>
  <c r="CB171" i="39"/>
  <c r="CA171" i="39"/>
  <c r="BZ171" i="39"/>
  <c r="BY171" i="39"/>
  <c r="CJ170" i="39"/>
  <c r="CI170" i="39"/>
  <c r="CH170" i="39"/>
  <c r="CG170" i="39"/>
  <c r="CF170" i="39"/>
  <c r="CE170" i="39"/>
  <c r="CD170" i="39"/>
  <c r="CC170" i="39"/>
  <c r="CB170" i="39"/>
  <c r="CA170" i="39"/>
  <c r="BZ170" i="39"/>
  <c r="BY170" i="39"/>
  <c r="CJ169" i="39"/>
  <c r="CI169" i="39"/>
  <c r="CH169" i="39"/>
  <c r="CG169" i="39"/>
  <c r="CF169" i="39"/>
  <c r="CE169" i="39"/>
  <c r="CD169" i="39"/>
  <c r="CC169" i="39"/>
  <c r="CB169" i="39"/>
  <c r="CA169" i="39"/>
  <c r="BZ169" i="39"/>
  <c r="BY169" i="39"/>
  <c r="CJ168" i="39"/>
  <c r="CI168" i="39"/>
  <c r="CH168" i="39"/>
  <c r="CG168" i="39"/>
  <c r="CF168" i="39"/>
  <c r="CE168" i="39"/>
  <c r="CD168" i="39"/>
  <c r="CC168" i="39"/>
  <c r="CB168" i="39"/>
  <c r="CA168" i="39"/>
  <c r="BZ168" i="39"/>
  <c r="BY168" i="39"/>
  <c r="CJ167" i="39"/>
  <c r="CI167" i="39"/>
  <c r="CH167" i="39"/>
  <c r="CG167" i="39"/>
  <c r="CF167" i="39"/>
  <c r="CE167" i="39"/>
  <c r="CD167" i="39"/>
  <c r="CC167" i="39"/>
  <c r="CB167" i="39"/>
  <c r="CA167" i="39"/>
  <c r="BZ167" i="39"/>
  <c r="BY167" i="39"/>
  <c r="CJ165" i="39"/>
  <c r="CI165" i="39"/>
  <c r="CH165" i="39"/>
  <c r="CG165" i="39"/>
  <c r="CF165" i="39"/>
  <c r="CE165" i="39"/>
  <c r="CD165" i="39"/>
  <c r="CC165" i="39"/>
  <c r="CB165" i="39"/>
  <c r="CA165" i="39"/>
  <c r="BZ165" i="39"/>
  <c r="BY165" i="39"/>
  <c r="CJ164" i="39"/>
  <c r="CI164" i="39"/>
  <c r="CH164" i="39"/>
  <c r="CG164" i="39"/>
  <c r="CF164" i="39"/>
  <c r="CE164" i="39"/>
  <c r="CD164" i="39"/>
  <c r="CC164" i="39"/>
  <c r="CB164" i="39"/>
  <c r="CA164" i="39"/>
  <c r="BZ164" i="39"/>
  <c r="BY164" i="39"/>
  <c r="CJ163" i="39"/>
  <c r="CI163" i="39"/>
  <c r="CH163" i="39"/>
  <c r="CG163" i="39"/>
  <c r="CF163" i="39"/>
  <c r="CE163" i="39"/>
  <c r="CD163" i="39"/>
  <c r="CC163" i="39"/>
  <c r="CB163" i="39"/>
  <c r="CA163" i="39"/>
  <c r="BZ163" i="39"/>
  <c r="BY163" i="39"/>
  <c r="CJ162" i="39"/>
  <c r="CI162" i="39"/>
  <c r="CH162" i="39"/>
  <c r="CG162" i="39"/>
  <c r="CF162" i="39"/>
  <c r="CE162" i="39"/>
  <c r="CD162" i="39"/>
  <c r="CC162" i="39"/>
  <c r="CB162" i="39"/>
  <c r="CA162" i="39"/>
  <c r="BZ162" i="39"/>
  <c r="BY162" i="39"/>
  <c r="CJ161" i="39"/>
  <c r="CI161" i="39"/>
  <c r="CH161" i="39"/>
  <c r="CG161" i="39"/>
  <c r="CF161" i="39"/>
  <c r="CE161" i="39"/>
  <c r="CD161" i="39"/>
  <c r="CC161" i="39"/>
  <c r="CB161" i="39"/>
  <c r="CA161" i="39"/>
  <c r="BZ161" i="39"/>
  <c r="BY161" i="39"/>
  <c r="CJ160" i="39"/>
  <c r="CI160" i="39"/>
  <c r="CH160" i="39"/>
  <c r="CG160" i="39"/>
  <c r="CF160" i="39"/>
  <c r="CE160" i="39"/>
  <c r="CD160" i="39"/>
  <c r="CC160" i="39"/>
  <c r="CB160" i="39"/>
  <c r="CA160" i="39"/>
  <c r="BZ160" i="39"/>
  <c r="BY160" i="39"/>
  <c r="CJ159" i="39"/>
  <c r="CI159" i="39"/>
  <c r="CH159" i="39"/>
  <c r="CG159" i="39"/>
  <c r="CF159" i="39"/>
  <c r="CE159" i="39"/>
  <c r="CD159" i="39"/>
  <c r="CC159" i="39"/>
  <c r="CB159" i="39"/>
  <c r="CA159" i="39"/>
  <c r="BZ159" i="39"/>
  <c r="BY159" i="39"/>
  <c r="CJ158" i="39"/>
  <c r="CI158" i="39"/>
  <c r="CH158" i="39"/>
  <c r="CG158" i="39"/>
  <c r="CF158" i="39"/>
  <c r="CE158" i="39"/>
  <c r="CD158" i="39"/>
  <c r="CC158" i="39"/>
  <c r="CB158" i="39"/>
  <c r="CA158" i="39"/>
  <c r="BZ158" i="39"/>
  <c r="BY158" i="39"/>
  <c r="CJ156" i="39"/>
  <c r="CI156" i="39"/>
  <c r="CH156" i="39"/>
  <c r="CG156" i="39"/>
  <c r="CF156" i="39"/>
  <c r="CE156" i="39"/>
  <c r="CD156" i="39"/>
  <c r="CC156" i="39"/>
  <c r="CB156" i="39"/>
  <c r="CA156" i="39"/>
  <c r="BZ156" i="39"/>
  <c r="BY156" i="39"/>
  <c r="CJ155" i="39"/>
  <c r="CI155" i="39"/>
  <c r="CH155" i="39"/>
  <c r="CG155" i="39"/>
  <c r="CF155" i="39"/>
  <c r="CE155" i="39"/>
  <c r="CD155" i="39"/>
  <c r="CC155" i="39"/>
  <c r="CB155" i="39"/>
  <c r="CA155" i="39"/>
  <c r="BZ155" i="39"/>
  <c r="BY155" i="39"/>
  <c r="CJ153" i="39"/>
  <c r="CI153" i="39"/>
  <c r="CH153" i="39"/>
  <c r="CG153" i="39"/>
  <c r="CF153" i="39"/>
  <c r="CE153" i="39"/>
  <c r="CD153" i="39"/>
  <c r="CC153" i="39"/>
  <c r="CB153" i="39"/>
  <c r="CA153" i="39"/>
  <c r="BZ153" i="39"/>
  <c r="BY153" i="39"/>
  <c r="CJ150" i="39"/>
  <c r="CI150" i="39"/>
  <c r="CH150" i="39"/>
  <c r="CG150" i="39"/>
  <c r="CF150" i="39"/>
  <c r="CE150" i="39"/>
  <c r="CD150" i="39"/>
  <c r="CC150" i="39"/>
  <c r="CB150" i="39"/>
  <c r="CA150" i="39"/>
  <c r="BZ150" i="39"/>
  <c r="BY150" i="39"/>
  <c r="CJ149" i="39"/>
  <c r="CI149" i="39"/>
  <c r="CH149" i="39"/>
  <c r="CG149" i="39"/>
  <c r="CF149" i="39"/>
  <c r="CE149" i="39"/>
  <c r="CD149" i="39"/>
  <c r="CC149" i="39"/>
  <c r="CB149" i="39"/>
  <c r="CA149" i="39"/>
  <c r="BZ149" i="39"/>
  <c r="BY149" i="39"/>
  <c r="CJ148" i="39"/>
  <c r="CI148" i="39"/>
  <c r="CH148" i="39"/>
  <c r="CG148" i="39"/>
  <c r="CF148" i="39"/>
  <c r="CE148" i="39"/>
  <c r="CD148" i="39"/>
  <c r="CC148" i="39"/>
  <c r="CB148" i="39"/>
  <c r="CA148" i="39"/>
  <c r="BZ148" i="39"/>
  <c r="BY148" i="39"/>
  <c r="CJ147" i="39"/>
  <c r="CI147" i="39"/>
  <c r="CH147" i="39"/>
  <c r="CG147" i="39"/>
  <c r="CF147" i="39"/>
  <c r="CE147" i="39"/>
  <c r="CD147" i="39"/>
  <c r="CC147" i="39"/>
  <c r="CB147" i="39"/>
  <c r="CA147" i="39"/>
  <c r="BZ147" i="39"/>
  <c r="BY147" i="39"/>
  <c r="CJ146" i="39"/>
  <c r="CI146" i="39"/>
  <c r="CH146" i="39"/>
  <c r="CG146" i="39"/>
  <c r="CF146" i="39"/>
  <c r="CE146" i="39"/>
  <c r="CD146" i="39"/>
  <c r="CC146" i="39"/>
  <c r="CB146" i="39"/>
  <c r="CA146" i="39"/>
  <c r="BZ146" i="39"/>
  <c r="BY146" i="39"/>
  <c r="CJ144" i="39"/>
  <c r="CI144" i="39"/>
  <c r="CH144" i="39"/>
  <c r="CG144" i="39"/>
  <c r="CF144" i="39"/>
  <c r="CE144" i="39"/>
  <c r="CD144" i="39"/>
  <c r="CC144" i="39"/>
  <c r="CB144" i="39"/>
  <c r="CA144" i="39"/>
  <c r="BZ144" i="39"/>
  <c r="BY144" i="39"/>
  <c r="CJ143" i="39"/>
  <c r="CI143" i="39"/>
  <c r="CH143" i="39"/>
  <c r="CG143" i="39"/>
  <c r="CF143" i="39"/>
  <c r="CE143" i="39"/>
  <c r="CD143" i="39"/>
  <c r="CC143" i="39"/>
  <c r="CB143" i="39"/>
  <c r="CA143" i="39"/>
  <c r="BZ143" i="39"/>
  <c r="BY143" i="39"/>
  <c r="CJ142" i="39"/>
  <c r="CI142" i="39"/>
  <c r="CH142" i="39"/>
  <c r="CG142" i="39"/>
  <c r="CF142" i="39"/>
  <c r="CE142" i="39"/>
  <c r="CD142" i="39"/>
  <c r="CC142" i="39"/>
  <c r="CB142" i="39"/>
  <c r="CA142" i="39"/>
  <c r="BZ142" i="39"/>
  <c r="BY142" i="39"/>
  <c r="CJ141" i="39"/>
  <c r="CI141" i="39"/>
  <c r="CH141" i="39"/>
  <c r="CG141" i="39"/>
  <c r="CF141" i="39"/>
  <c r="CE141" i="39"/>
  <c r="CD141" i="39"/>
  <c r="CC141" i="39"/>
  <c r="CB141" i="39"/>
  <c r="CA141" i="39"/>
  <c r="BZ141" i="39"/>
  <c r="BY141" i="39"/>
  <c r="CJ140" i="39"/>
  <c r="CI140" i="39"/>
  <c r="CH140" i="39"/>
  <c r="CG140" i="39"/>
  <c r="CF140" i="39"/>
  <c r="CE140" i="39"/>
  <c r="CD140" i="39"/>
  <c r="CC140" i="39"/>
  <c r="CB140" i="39"/>
  <c r="CA140" i="39"/>
  <c r="BZ140" i="39"/>
  <c r="BY140" i="39"/>
  <c r="CJ139" i="39"/>
  <c r="CI139" i="39"/>
  <c r="CH139" i="39"/>
  <c r="CG139" i="39"/>
  <c r="CF139" i="39"/>
  <c r="CE139" i="39"/>
  <c r="CD139" i="39"/>
  <c r="CC139" i="39"/>
  <c r="CB139" i="39"/>
  <c r="CA139" i="39"/>
  <c r="BZ139" i="39"/>
  <c r="BY139" i="39"/>
  <c r="CJ138" i="39"/>
  <c r="CI138" i="39"/>
  <c r="CH138" i="39"/>
  <c r="CG138" i="39"/>
  <c r="CF138" i="39"/>
  <c r="CE138" i="39"/>
  <c r="CD138" i="39"/>
  <c r="CC138" i="39"/>
  <c r="CB138" i="39"/>
  <c r="CA138" i="39"/>
  <c r="BZ138" i="39"/>
  <c r="BY138" i="39"/>
  <c r="CJ137" i="39"/>
  <c r="CI137" i="39"/>
  <c r="CH137" i="39"/>
  <c r="CG137" i="39"/>
  <c r="CF137" i="39"/>
  <c r="CE137" i="39"/>
  <c r="CD137" i="39"/>
  <c r="CC137" i="39"/>
  <c r="CB137" i="39"/>
  <c r="CA137" i="39"/>
  <c r="BZ137" i="39"/>
  <c r="BY137" i="39"/>
  <c r="CJ135" i="39"/>
  <c r="CI135" i="39"/>
  <c r="CH135" i="39"/>
  <c r="CG135" i="39"/>
  <c r="CF135" i="39"/>
  <c r="CE135" i="39"/>
  <c r="CD135" i="39"/>
  <c r="CC135" i="39"/>
  <c r="CB135" i="39"/>
  <c r="CA135" i="39"/>
  <c r="BZ135" i="39"/>
  <c r="BY135" i="39"/>
  <c r="CJ134" i="39"/>
  <c r="CI134" i="39"/>
  <c r="CH134" i="39"/>
  <c r="CG134" i="39"/>
  <c r="CF134" i="39"/>
  <c r="CE134" i="39"/>
  <c r="CD134" i="39"/>
  <c r="CC134" i="39"/>
  <c r="CB134" i="39"/>
  <c r="CA134" i="39"/>
  <c r="BZ134" i="39"/>
  <c r="BY134" i="39"/>
  <c r="CJ132" i="39"/>
  <c r="CI132" i="39"/>
  <c r="CH132" i="39"/>
  <c r="CG132" i="39"/>
  <c r="CF132" i="39"/>
  <c r="CE132" i="39"/>
  <c r="CD132" i="39"/>
  <c r="CC132" i="39"/>
  <c r="CB132" i="39"/>
  <c r="CA132" i="39"/>
  <c r="BZ132" i="39"/>
  <c r="BY132" i="39"/>
  <c r="CJ131" i="39"/>
  <c r="CI131" i="39"/>
  <c r="CH131" i="39"/>
  <c r="CG131" i="39"/>
  <c r="CF131" i="39"/>
  <c r="CE131" i="39"/>
  <c r="CD131" i="39"/>
  <c r="CC131" i="39"/>
  <c r="CB131" i="39"/>
  <c r="CA131" i="39"/>
  <c r="BZ131" i="39"/>
  <c r="BY131" i="39"/>
  <c r="CJ130" i="39"/>
  <c r="CI130" i="39"/>
  <c r="CH130" i="39"/>
  <c r="CG130" i="39"/>
  <c r="CF130" i="39"/>
  <c r="CE130" i="39"/>
  <c r="CD130" i="39"/>
  <c r="CC130" i="39"/>
  <c r="CB130" i="39"/>
  <c r="CA130" i="39"/>
  <c r="BZ130" i="39"/>
  <c r="BY130" i="39"/>
  <c r="CJ129" i="39"/>
  <c r="CI129" i="39"/>
  <c r="CH129" i="39"/>
  <c r="CG129" i="39"/>
  <c r="CF129" i="39"/>
  <c r="CE129" i="39"/>
  <c r="CD129" i="39"/>
  <c r="CC129" i="39"/>
  <c r="CB129" i="39"/>
  <c r="CA129" i="39"/>
  <c r="BZ129" i="39"/>
  <c r="BY129" i="39"/>
  <c r="CJ128" i="39"/>
  <c r="CI128" i="39"/>
  <c r="CH128" i="39"/>
  <c r="CG128" i="39"/>
  <c r="CF128" i="39"/>
  <c r="CE128" i="39"/>
  <c r="CD128" i="39"/>
  <c r="CC128" i="39"/>
  <c r="CB128" i="39"/>
  <c r="CA128" i="39"/>
  <c r="BZ128" i="39"/>
  <c r="BY128" i="39"/>
  <c r="CJ103" i="39"/>
  <c r="CI103" i="39"/>
  <c r="CH103" i="39"/>
  <c r="CG103" i="39"/>
  <c r="CF103" i="39"/>
  <c r="CE103" i="39"/>
  <c r="CD103" i="39"/>
  <c r="CC103" i="39"/>
  <c r="CB103" i="39"/>
  <c r="CA103" i="39"/>
  <c r="BZ103" i="39"/>
  <c r="BY103" i="39"/>
  <c r="CJ102" i="39"/>
  <c r="CI102" i="39"/>
  <c r="CH102" i="39"/>
  <c r="CG102" i="39"/>
  <c r="CF102" i="39"/>
  <c r="CE102" i="39"/>
  <c r="CD102" i="39"/>
  <c r="CC102" i="39"/>
  <c r="CB102" i="39"/>
  <c r="CA102" i="39"/>
  <c r="BZ102" i="39"/>
  <c r="BY102" i="39"/>
  <c r="CJ83" i="39"/>
  <c r="CI83" i="39"/>
  <c r="CH83" i="39"/>
  <c r="CG83" i="39"/>
  <c r="CF83" i="39"/>
  <c r="CE83" i="39"/>
  <c r="CD83" i="39"/>
  <c r="CC83" i="39"/>
  <c r="CB83" i="39"/>
  <c r="CA83" i="39"/>
  <c r="BZ83" i="39"/>
  <c r="BY83" i="39"/>
  <c r="CJ66" i="39"/>
  <c r="CI66" i="39"/>
  <c r="CH66" i="39"/>
  <c r="CG66" i="39"/>
  <c r="CF66" i="39"/>
  <c r="CE66" i="39"/>
  <c r="CD66" i="39"/>
  <c r="CC66" i="39"/>
  <c r="CB66" i="39"/>
  <c r="CA66" i="39"/>
  <c r="BZ66" i="39"/>
  <c r="BY66" i="39"/>
  <c r="CJ65" i="39"/>
  <c r="CI65" i="39"/>
  <c r="CH65" i="39"/>
  <c r="CG65" i="39"/>
  <c r="CF65" i="39"/>
  <c r="CE65" i="39"/>
  <c r="CD65" i="39"/>
  <c r="CC65" i="39"/>
  <c r="CB65" i="39"/>
  <c r="CA65" i="39"/>
  <c r="BZ65" i="39"/>
  <c r="BY65" i="39"/>
  <c r="CJ64" i="39"/>
  <c r="CI64" i="39"/>
  <c r="CH64" i="39"/>
  <c r="CG64" i="39"/>
  <c r="CF64" i="39"/>
  <c r="CE64" i="39"/>
  <c r="CD64" i="39"/>
  <c r="CC64" i="39"/>
  <c r="CB64" i="39"/>
  <c r="CA64" i="39"/>
  <c r="BZ64" i="39"/>
  <c r="BY64" i="39"/>
  <c r="CJ50" i="39"/>
  <c r="CI50" i="39"/>
  <c r="CH50" i="39"/>
  <c r="CG50" i="39"/>
  <c r="CF50" i="39"/>
  <c r="CE50" i="39"/>
  <c r="CD50" i="39"/>
  <c r="CC50" i="39"/>
  <c r="CB50" i="39"/>
  <c r="CA50" i="39"/>
  <c r="BZ50" i="39"/>
  <c r="BY50" i="39"/>
  <c r="CJ49" i="39"/>
  <c r="CI49" i="39"/>
  <c r="CH49" i="39"/>
  <c r="CG49" i="39"/>
  <c r="CF49" i="39"/>
  <c r="CE49" i="39"/>
  <c r="CD49" i="39"/>
  <c r="CC49" i="39"/>
  <c r="CB49" i="39"/>
  <c r="CA49" i="39"/>
  <c r="BZ49" i="39"/>
  <c r="BY49" i="39"/>
  <c r="CJ48" i="39"/>
  <c r="CI48" i="39"/>
  <c r="CH48" i="39"/>
  <c r="CG48" i="39"/>
  <c r="CF48" i="39"/>
  <c r="CE48" i="39"/>
  <c r="CD48" i="39"/>
  <c r="CC48" i="39"/>
  <c r="CB48" i="39"/>
  <c r="CA48" i="39"/>
  <c r="BZ48" i="39"/>
  <c r="BY48" i="39"/>
  <c r="CJ47" i="39"/>
  <c r="CI47" i="39"/>
  <c r="CH47" i="39"/>
  <c r="CG47" i="39"/>
  <c r="CF47" i="39"/>
  <c r="CE47" i="39"/>
  <c r="CD47" i="39"/>
  <c r="CC47" i="39"/>
  <c r="CB47" i="39"/>
  <c r="CA47" i="39"/>
  <c r="BZ47" i="39"/>
  <c r="BY47" i="39"/>
  <c r="CJ46" i="39"/>
  <c r="CI46" i="39"/>
  <c r="CH46" i="39"/>
  <c r="CG46" i="39"/>
  <c r="CF46" i="39"/>
  <c r="CE46" i="39"/>
  <c r="CD46" i="39"/>
  <c r="CC46" i="39"/>
  <c r="CB46" i="39"/>
  <c r="CA46" i="39"/>
  <c r="BZ46" i="39"/>
  <c r="BY46" i="39"/>
  <c r="CJ45" i="39"/>
  <c r="CI45" i="39"/>
  <c r="CH45" i="39"/>
  <c r="CG45" i="39"/>
  <c r="CF45" i="39"/>
  <c r="CE45" i="39"/>
  <c r="CD45" i="39"/>
  <c r="CC45" i="39"/>
  <c r="CB45" i="39"/>
  <c r="CA45" i="39"/>
  <c r="BZ45" i="39"/>
  <c r="BY45" i="39"/>
  <c r="CJ39" i="39"/>
  <c r="CI39" i="39"/>
  <c r="CH39" i="39"/>
  <c r="CG39" i="39"/>
  <c r="CF39" i="39"/>
  <c r="CE39" i="39"/>
  <c r="CD39" i="39"/>
  <c r="CC39" i="39"/>
  <c r="CB39" i="39"/>
  <c r="CA39" i="39"/>
  <c r="BZ39" i="39"/>
  <c r="BY39" i="39"/>
  <c r="CJ37" i="39"/>
  <c r="CI37" i="39"/>
  <c r="CH37" i="39"/>
  <c r="CG37" i="39"/>
  <c r="CF37" i="39"/>
  <c r="CE37" i="39"/>
  <c r="CD37" i="39"/>
  <c r="CC37" i="39"/>
  <c r="CB37" i="39"/>
  <c r="CA37" i="39"/>
  <c r="BZ37" i="39"/>
  <c r="BY37" i="39"/>
  <c r="CJ36" i="39"/>
  <c r="CI36" i="39"/>
  <c r="CH36" i="39"/>
  <c r="CG36" i="39"/>
  <c r="CF36" i="39"/>
  <c r="CE36" i="39"/>
  <c r="CD36" i="39"/>
  <c r="CC36" i="39"/>
  <c r="CB36" i="39"/>
  <c r="CA36" i="39"/>
  <c r="BZ36" i="39"/>
  <c r="BY36" i="39"/>
  <c r="CJ19" i="39"/>
  <c r="CI19" i="39"/>
  <c r="CH19" i="39"/>
  <c r="CG19" i="39"/>
  <c r="CF19" i="39"/>
  <c r="CE19" i="39"/>
  <c r="CD19" i="39"/>
  <c r="CC19" i="39"/>
  <c r="CB19" i="39"/>
  <c r="CA19" i="39"/>
  <c r="BZ19" i="39"/>
  <c r="BY19" i="39"/>
  <c r="CJ18" i="39"/>
  <c r="CI18" i="39"/>
  <c r="CH18" i="39"/>
  <c r="CG18" i="39"/>
  <c r="CF18" i="39"/>
  <c r="CE18" i="39"/>
  <c r="CD18" i="39"/>
  <c r="CC18" i="39"/>
  <c r="CB18" i="39"/>
  <c r="CA18" i="39"/>
  <c r="BZ18" i="39"/>
  <c r="BY18" i="39"/>
  <c r="CJ17" i="39"/>
  <c r="CI17" i="39"/>
  <c r="CH17" i="39"/>
  <c r="CG17" i="39"/>
  <c r="CF17" i="39"/>
  <c r="CE17" i="39"/>
  <c r="CD17" i="39"/>
  <c r="CC17" i="39"/>
  <c r="CB17" i="39"/>
  <c r="CA17" i="39"/>
  <c r="BZ17" i="39"/>
  <c r="BY17" i="39"/>
  <c r="CJ15" i="39"/>
  <c r="CI15" i="39"/>
  <c r="CH15" i="39"/>
  <c r="CG15" i="39"/>
  <c r="CF15" i="39"/>
  <c r="CE15" i="39"/>
  <c r="CD15" i="39"/>
  <c r="CC15" i="39"/>
  <c r="CB15" i="39"/>
  <c r="CA15" i="39"/>
  <c r="BZ15" i="39"/>
  <c r="BY15" i="39"/>
  <c r="CJ14" i="39"/>
  <c r="CI14" i="39"/>
  <c r="CH14" i="39"/>
  <c r="CG14" i="39"/>
  <c r="CF14" i="39"/>
  <c r="CE14" i="39"/>
  <c r="CD14" i="39"/>
  <c r="CC14" i="39"/>
  <c r="CB14" i="39"/>
  <c r="CA14" i="39"/>
  <c r="BZ14" i="39"/>
  <c r="BY14" i="39"/>
  <c r="CJ13" i="39"/>
  <c r="CI13" i="39"/>
  <c r="CH13" i="39"/>
  <c r="CG13" i="39"/>
  <c r="CF13" i="39"/>
  <c r="CE13" i="39"/>
  <c r="CD13" i="39"/>
  <c r="CC13" i="39"/>
  <c r="CB13" i="39"/>
  <c r="CA13" i="39"/>
  <c r="BZ13" i="39"/>
  <c r="BY13" i="39"/>
  <c r="BZ12" i="39"/>
  <c r="CA12" i="39"/>
  <c r="CB12" i="39"/>
  <c r="CC12" i="39"/>
  <c r="CD12" i="39"/>
  <c r="CE12" i="39"/>
  <c r="CF12" i="39"/>
  <c r="CG12" i="39"/>
  <c r="CH12" i="39"/>
  <c r="CI12" i="39"/>
  <c r="CJ12" i="39"/>
  <c r="BY12" i="39"/>
  <c r="BX12" i="39"/>
  <c r="G23" i="53"/>
  <c r="G23" i="58"/>
  <c r="G23" i="79"/>
  <c r="G23" i="56"/>
  <c r="G23" i="54"/>
  <c r="G23" i="66"/>
  <c r="G23" i="51"/>
  <c r="G23" i="68"/>
  <c r="G23" i="60"/>
  <c r="G23" i="59"/>
  <c r="G23" i="52"/>
  <c r="G23" i="76"/>
  <c r="G32" i="67"/>
  <c r="G31" i="67"/>
  <c r="G30" i="67"/>
  <c r="G29" i="67"/>
  <c r="G25" i="67"/>
  <c r="G24" i="67"/>
  <c r="G23" i="67"/>
  <c r="G30" i="46"/>
  <c r="G29" i="46"/>
  <c r="G28" i="46"/>
  <c r="G27" i="46"/>
  <c r="G26" i="46"/>
  <c r="G24" i="46"/>
  <c r="G23" i="46"/>
  <c r="G29" i="45"/>
  <c r="G28" i="45"/>
  <c r="G27" i="45"/>
  <c r="G26" i="45"/>
  <c r="G24" i="44"/>
  <c r="G23" i="44"/>
  <c r="G64" i="42"/>
  <c r="G45" i="42"/>
  <c r="G44" i="42"/>
  <c r="G43" i="42"/>
  <c r="G42" i="42"/>
  <c r="G41" i="42"/>
  <c r="G40" i="42"/>
  <c r="G39" i="42"/>
  <c r="G38" i="42"/>
  <c r="G37" i="42"/>
  <c r="G36" i="42"/>
  <c r="G35" i="42"/>
  <c r="G34" i="42"/>
  <c r="G33" i="42"/>
  <c r="G32" i="42"/>
  <c r="G31" i="42"/>
  <c r="G29" i="42"/>
  <c r="BX340" i="39"/>
  <c r="BX328" i="39"/>
  <c r="BX326" i="39"/>
  <c r="BX325" i="39"/>
  <c r="BX324" i="39"/>
  <c r="BX323" i="39"/>
  <c r="BX322" i="39"/>
  <c r="BX317" i="39"/>
  <c r="BX313" i="39"/>
  <c r="BX312" i="39"/>
  <c r="BX311" i="39"/>
  <c r="BX310" i="39"/>
  <c r="BX308" i="39"/>
  <c r="BX307" i="39"/>
  <c r="BX306" i="39"/>
  <c r="BX305" i="39"/>
  <c r="BX296" i="39"/>
  <c r="BX295" i="39"/>
  <c r="BX294" i="39"/>
  <c r="BX293" i="39"/>
  <c r="BX292" i="39"/>
  <c r="BX291" i="39"/>
  <c r="BX289" i="39"/>
  <c r="BX288" i="39"/>
  <c r="BX286" i="39"/>
  <c r="BX285" i="39"/>
  <c r="BX283" i="39"/>
  <c r="BX280" i="39"/>
  <c r="BX271" i="39"/>
  <c r="BX270" i="39"/>
  <c r="BX269" i="39"/>
  <c r="BX268" i="39"/>
  <c r="BX263" i="39"/>
  <c r="BX261" i="39"/>
  <c r="BX260" i="39"/>
  <c r="BX259" i="39"/>
  <c r="BX258" i="39"/>
  <c r="BX255" i="39"/>
  <c r="BX254" i="39"/>
  <c r="BX252" i="39"/>
  <c r="BX251" i="39"/>
  <c r="BX250" i="39"/>
  <c r="BX249" i="39"/>
  <c r="BX247" i="39"/>
  <c r="BX245" i="39"/>
  <c r="BX243" i="39"/>
  <c r="BX242" i="39"/>
  <c r="BX241" i="39"/>
  <c r="BX240" i="39"/>
  <c r="BX239" i="39"/>
  <c r="BX238" i="39"/>
  <c r="BX237" i="39"/>
  <c r="BX236" i="39"/>
  <c r="BX232" i="39"/>
  <c r="BX231" i="39"/>
  <c r="BX230" i="39"/>
  <c r="BX229" i="39"/>
  <c r="BX228" i="39"/>
  <c r="BX226" i="39"/>
  <c r="BX216" i="39"/>
  <c r="BX213" i="39"/>
  <c r="BX212" i="39"/>
  <c r="BX211" i="39"/>
  <c r="BX209" i="39"/>
  <c r="BX208" i="39"/>
  <c r="BX207" i="39"/>
  <c r="BX205" i="39"/>
  <c r="BX204" i="39"/>
  <c r="BX203" i="39"/>
  <c r="BX202" i="39"/>
  <c r="BX201" i="39"/>
  <c r="BX200" i="39"/>
  <c r="BX199" i="39"/>
  <c r="BX198" i="39"/>
  <c r="BX197" i="39"/>
  <c r="BX196" i="39"/>
  <c r="BX195" i="39"/>
  <c r="BX194" i="39"/>
  <c r="BX193" i="39"/>
  <c r="BX186" i="39"/>
  <c r="BX184" i="39"/>
  <c r="BX183" i="39"/>
  <c r="BX182" i="39"/>
  <c r="BX181" i="39"/>
  <c r="BX180" i="39"/>
  <c r="BX179" i="39"/>
  <c r="BX178" i="39"/>
  <c r="BX176" i="39"/>
  <c r="BX175" i="39"/>
  <c r="BX174" i="39"/>
  <c r="BX173" i="39"/>
  <c r="BX171" i="39"/>
  <c r="BX170" i="39"/>
  <c r="BX169" i="39"/>
  <c r="BX168" i="39"/>
  <c r="BX167" i="39"/>
  <c r="BX165" i="39"/>
  <c r="BX164" i="39"/>
  <c r="BX163" i="39"/>
  <c r="BX162" i="39"/>
  <c r="BX161" i="39"/>
  <c r="BX160" i="39"/>
  <c r="BX159" i="39"/>
  <c r="BX158" i="39"/>
  <c r="BX156" i="39"/>
  <c r="BX155" i="39"/>
  <c r="BX153" i="39"/>
  <c r="BX150" i="39"/>
  <c r="BX149" i="39"/>
  <c r="BX148" i="39"/>
  <c r="BX147" i="39"/>
  <c r="BX146" i="39"/>
  <c r="BX144" i="39"/>
  <c r="BX143" i="39"/>
  <c r="BX142" i="39"/>
  <c r="BX141" i="39"/>
  <c r="BX140" i="39"/>
  <c r="BX139" i="39"/>
  <c r="BX138" i="39"/>
  <c r="BX137" i="39"/>
  <c r="BX135" i="39"/>
  <c r="BX134" i="39"/>
  <c r="BX132" i="39"/>
  <c r="BX131" i="39"/>
  <c r="BX130" i="39"/>
  <c r="BX129" i="39"/>
  <c r="BX128" i="39"/>
  <c r="BX103" i="39"/>
  <c r="BX102" i="39"/>
  <c r="BX83" i="39"/>
  <c r="BX50" i="39"/>
  <c r="BX49" i="39"/>
  <c r="BX48" i="39"/>
  <c r="BX47" i="39"/>
  <c r="BX46" i="39"/>
  <c r="BX45" i="39"/>
  <c r="BX39" i="39"/>
  <c r="BX37" i="39"/>
  <c r="BX36" i="39"/>
  <c r="BX19" i="39"/>
  <c r="BX18" i="39"/>
  <c r="BX17" i="39"/>
  <c r="BX15" i="39"/>
  <c r="BX14" i="39"/>
  <c r="BX13" i="39"/>
  <c r="G26" i="42"/>
  <c r="J6" i="39"/>
  <c r="J8" i="39"/>
  <c r="H8" i="39"/>
  <c r="Q47" i="6"/>
  <c r="Q35" i="6"/>
  <c r="Q32" i="6"/>
  <c r="C15" i="4"/>
  <c r="H6" i="39"/>
  <c r="C16" i="4"/>
  <c r="I6" i="39"/>
  <c r="I8" i="39"/>
  <c r="B51" i="6"/>
  <c r="B20" i="6"/>
  <c r="F20" i="6" s="1"/>
  <c r="B7" i="39"/>
  <c r="B5" i="39"/>
  <c r="K5" i="6"/>
  <c r="B13" i="55"/>
  <c r="B16" i="55"/>
  <c r="B17" i="55"/>
  <c r="B18" i="55"/>
  <c r="B22" i="55"/>
  <c r="B23" i="55"/>
  <c r="B24" i="55"/>
  <c r="B25" i="55"/>
  <c r="B26" i="55"/>
  <c r="B27" i="55"/>
  <c r="B28" i="55"/>
  <c r="B29" i="55"/>
  <c r="B30" i="55"/>
  <c r="B31" i="55"/>
  <c r="B32" i="55"/>
  <c r="B34" i="55"/>
  <c r="B35" i="55"/>
  <c r="B37" i="55"/>
  <c r="B38" i="55"/>
  <c r="B40" i="55"/>
  <c r="B41" i="55"/>
  <c r="B42" i="55"/>
  <c r="AP12" i="39"/>
  <c r="AP13" i="39"/>
  <c r="AP14" i="39"/>
  <c r="AP15" i="39"/>
  <c r="AP17" i="39"/>
  <c r="AP18" i="39"/>
  <c r="AP19" i="39"/>
  <c r="AP36" i="39"/>
  <c r="AP37" i="39"/>
  <c r="AP39" i="39"/>
  <c r="AP45" i="39"/>
  <c r="AP46" i="39"/>
  <c r="AP47" i="39"/>
  <c r="AP48" i="39"/>
  <c r="AP49" i="39"/>
  <c r="AP50" i="39"/>
  <c r="AP64" i="39"/>
  <c r="AP65" i="39"/>
  <c r="AP66" i="39"/>
  <c r="AP83" i="39"/>
  <c r="AP102" i="39"/>
  <c r="AP103" i="39"/>
  <c r="AP128" i="39"/>
  <c r="AP129" i="39"/>
  <c r="AP130" i="39"/>
  <c r="AP131" i="39"/>
  <c r="AP132" i="39"/>
  <c r="AP134" i="39"/>
  <c r="AP135" i="39"/>
  <c r="AP137" i="39"/>
  <c r="AP138" i="39"/>
  <c r="AP139" i="39"/>
  <c r="AP140" i="39"/>
  <c r="AP141" i="39"/>
  <c r="AP142" i="39"/>
  <c r="AP143" i="39"/>
  <c r="AP144" i="39"/>
  <c r="AP146" i="39"/>
  <c r="AP147" i="39"/>
  <c r="AP148" i="39"/>
  <c r="AP149" i="39"/>
  <c r="AP150" i="39"/>
  <c r="AP153" i="39"/>
  <c r="AP155" i="39"/>
  <c r="AP156" i="39"/>
  <c r="AP158" i="39"/>
  <c r="AP159" i="39"/>
  <c r="AP160" i="39"/>
  <c r="AP161" i="39"/>
  <c r="AP162" i="39"/>
  <c r="AP163" i="39"/>
  <c r="AP164" i="39"/>
  <c r="AP165" i="39"/>
  <c r="AP167" i="39"/>
  <c r="AP168" i="39"/>
  <c r="AP169" i="39"/>
  <c r="AP170" i="39"/>
  <c r="AP171" i="39"/>
  <c r="AP173" i="39"/>
  <c r="AP174" i="39"/>
  <c r="AP175" i="39"/>
  <c r="AP176" i="39"/>
  <c r="AP178" i="39"/>
  <c r="AP179" i="39"/>
  <c r="AP180" i="39"/>
  <c r="AP181" i="39"/>
  <c r="AP182" i="39"/>
  <c r="AP183" i="39"/>
  <c r="AP184" i="39"/>
  <c r="AP186" i="39"/>
  <c r="AP193" i="39"/>
  <c r="AP194" i="39"/>
  <c r="AP195" i="39"/>
  <c r="AP196" i="39"/>
  <c r="AP197" i="39"/>
  <c r="AP198" i="39"/>
  <c r="AP199" i="39"/>
  <c r="AP200" i="39"/>
  <c r="AP201" i="39"/>
  <c r="AP202" i="39"/>
  <c r="AP203" i="39"/>
  <c r="AP204" i="39"/>
  <c r="AP205" i="39"/>
  <c r="AP207" i="39"/>
  <c r="AP208" i="39"/>
  <c r="AP209" i="39"/>
  <c r="AP211" i="39"/>
  <c r="AP212" i="39"/>
  <c r="AP213" i="39"/>
  <c r="AP216" i="39"/>
  <c r="AP226" i="39"/>
  <c r="AP228" i="39"/>
  <c r="AP229" i="39"/>
  <c r="AP230" i="39"/>
  <c r="AP231" i="39"/>
  <c r="AP232" i="39"/>
  <c r="AP236" i="39"/>
  <c r="AP237" i="39"/>
  <c r="AP238" i="39"/>
  <c r="AP239" i="39"/>
  <c r="AP240" i="39"/>
  <c r="AP241" i="39"/>
  <c r="AP242" i="39"/>
  <c r="AP243" i="39"/>
  <c r="AP245" i="39"/>
  <c r="AP247" i="39"/>
  <c r="AP249" i="39"/>
  <c r="AP250" i="39"/>
  <c r="AP251" i="39"/>
  <c r="AP252" i="39"/>
  <c r="AP254" i="39"/>
  <c r="AP255" i="39"/>
  <c r="AP258" i="39"/>
  <c r="AP259" i="39"/>
  <c r="AP260" i="39"/>
  <c r="AP261" i="39"/>
  <c r="AP263" i="39"/>
  <c r="AP268" i="39"/>
  <c r="AP269" i="39"/>
  <c r="AP270" i="39"/>
  <c r="AP271" i="39"/>
  <c r="AP280" i="39"/>
  <c r="AP283" i="39"/>
  <c r="AP285" i="39"/>
  <c r="AP286" i="39"/>
  <c r="AP288" i="39"/>
  <c r="AP289" i="39"/>
  <c r="AP291" i="39"/>
  <c r="AP292" i="39"/>
  <c r="AP293" i="39"/>
  <c r="AP294" i="39"/>
  <c r="AP295" i="39"/>
  <c r="AP296" i="39"/>
  <c r="AP305" i="39"/>
  <c r="AP306" i="39"/>
  <c r="AP307" i="39"/>
  <c r="AP308" i="39"/>
  <c r="AP310" i="39"/>
  <c r="AP311" i="39"/>
  <c r="AP312" i="39"/>
  <c r="AP313" i="39"/>
  <c r="AP317" i="39"/>
  <c r="AP322" i="39"/>
  <c r="AP323" i="39"/>
  <c r="AP324" i="39"/>
  <c r="AP325" i="39"/>
  <c r="AP326" i="39"/>
  <c r="AP328" i="39"/>
  <c r="AP340" i="39"/>
  <c r="D75" i="89"/>
  <c r="D76" i="89"/>
  <c r="D77" i="89"/>
  <c r="D78" i="89"/>
  <c r="D79" i="89"/>
  <c r="D80" i="89"/>
  <c r="D81" i="89"/>
  <c r="D82" i="89"/>
  <c r="D83" i="89"/>
  <c r="D84" i="89"/>
  <c r="D85" i="89"/>
  <c r="D86" i="89"/>
  <c r="D87" i="89"/>
  <c r="D88" i="89"/>
  <c r="D89" i="89"/>
  <c r="D90" i="89"/>
  <c r="G28" i="42"/>
  <c r="B23" i="4"/>
  <c r="B24" i="4"/>
  <c r="D2" i="53"/>
  <c r="D2" i="58"/>
  <c r="D2" i="75"/>
  <c r="D2" i="79"/>
  <c r="D2" i="82"/>
  <c r="D2" i="56"/>
  <c r="D2" i="54"/>
  <c r="D2" i="66"/>
  <c r="D2" i="51"/>
  <c r="D2" i="68"/>
  <c r="D2" i="60"/>
  <c r="D2" i="59"/>
  <c r="D2" i="52"/>
  <c r="D2" i="76"/>
  <c r="D2" i="85"/>
  <c r="D2" i="67"/>
  <c r="D2" i="46"/>
  <c r="D2" i="45"/>
  <c r="D2" i="44"/>
  <c r="D2" i="47"/>
  <c r="D2" i="41"/>
  <c r="D2" i="42"/>
  <c r="D14" i="6"/>
  <c r="D13" i="6"/>
  <c r="L11" i="55"/>
  <c r="P41" i="6"/>
  <c r="R41" i="6" s="1"/>
  <c r="M10" i="89" s="1"/>
  <c r="F38" i="55"/>
  <c r="F26" i="55"/>
  <c r="P40" i="6"/>
  <c r="Z7" i="89"/>
  <c r="F27" i="55"/>
  <c r="E27" i="55"/>
  <c r="P35" i="6"/>
  <c r="E24" i="55"/>
  <c r="E37" i="55"/>
  <c r="E41" i="55"/>
  <c r="E34" i="55"/>
  <c r="AA5" i="89"/>
  <c r="AA40" i="89" s="1"/>
  <c r="L9" i="89"/>
  <c r="E32" i="55"/>
  <c r="K64" i="89"/>
  <c r="L53" i="89"/>
  <c r="Q7" i="89"/>
  <c r="Q30" i="89" s="1"/>
  <c r="K69" i="89"/>
  <c r="M66" i="89"/>
  <c r="O67" i="89"/>
  <c r="J64" i="89"/>
  <c r="M68" i="89"/>
  <c r="AC5" i="89"/>
  <c r="M60" i="89"/>
  <c r="T72" i="89"/>
  <c r="H55" i="89"/>
  <c r="Y67" i="89"/>
  <c r="K53" i="89"/>
  <c r="Q51" i="89"/>
  <c r="Q5" i="89"/>
  <c r="P5" i="89"/>
  <c r="T64" i="89"/>
  <c r="U5" i="89"/>
  <c r="U73" i="89"/>
  <c r="U69" i="89"/>
  <c r="U46" i="89"/>
  <c r="U62" i="89"/>
  <c r="U70" i="89"/>
  <c r="U58" i="89"/>
  <c r="I5" i="89"/>
  <c r="I68" i="89"/>
  <c r="AD67" i="89"/>
  <c r="S57" i="89"/>
  <c r="O69" i="89"/>
  <c r="Z69" i="89"/>
  <c r="L59" i="89"/>
  <c r="L70" i="89"/>
  <c r="H54" i="89"/>
  <c r="H70" i="89"/>
  <c r="H59" i="89"/>
  <c r="H69" i="89"/>
  <c r="H73" i="89"/>
  <c r="H61" i="89"/>
  <c r="AD54" i="89"/>
  <c r="AB68" i="89"/>
  <c r="AB64" i="89"/>
  <c r="M5" i="89"/>
  <c r="M57" i="89"/>
  <c r="U7" i="89"/>
  <c r="U51" i="89"/>
  <c r="U59" i="89"/>
  <c r="U45" i="89"/>
  <c r="U74" i="89"/>
  <c r="U89" i="89" s="1"/>
  <c r="U53" i="89"/>
  <c r="U61" i="89"/>
  <c r="AA54" i="89"/>
  <c r="AA72" i="89"/>
  <c r="AA53" i="89"/>
  <c r="AA59" i="89"/>
  <c r="AA50" i="89"/>
  <c r="AA74" i="89"/>
  <c r="AA85" i="89" s="1"/>
  <c r="AA68" i="89"/>
  <c r="AA71" i="89"/>
  <c r="AA46" i="89"/>
  <c r="Y5" i="89"/>
  <c r="S5" i="89"/>
  <c r="AD69" i="89"/>
  <c r="J37" i="6"/>
  <c r="G37" i="6" s="1"/>
  <c r="J44" i="6"/>
  <c r="G44" i="6" s="1"/>
  <c r="AX227" i="39"/>
  <c r="J35" i="6"/>
  <c r="G35" i="6" s="1"/>
  <c r="Z9" i="89"/>
  <c r="Z5" i="89"/>
  <c r="Z60" i="89"/>
  <c r="Z52" i="89"/>
  <c r="Z72" i="89"/>
  <c r="Z64" i="89"/>
  <c r="Z74" i="89"/>
  <c r="Z79" i="89" s="1"/>
  <c r="Z50" i="89"/>
  <c r="L5" i="89"/>
  <c r="L57" i="89"/>
  <c r="L56" i="89"/>
  <c r="L74" i="89"/>
  <c r="L83" i="89" s="1"/>
  <c r="L63" i="89"/>
  <c r="L66" i="89"/>
  <c r="O5" i="89"/>
  <c r="O53" i="89"/>
  <c r="K5" i="89"/>
  <c r="K71" i="89"/>
  <c r="K68" i="89"/>
  <c r="J5" i="89"/>
  <c r="H65" i="89"/>
  <c r="H71" i="89"/>
  <c r="H68" i="89"/>
  <c r="H50" i="89"/>
  <c r="H58" i="89"/>
  <c r="H5" i="89"/>
  <c r="H52" i="89"/>
  <c r="H62" i="89"/>
  <c r="H60" i="89"/>
  <c r="J65" i="89"/>
  <c r="Z63" i="89"/>
  <c r="L65" i="89"/>
  <c r="Y66" i="89"/>
  <c r="S31" i="6"/>
  <c r="U31" i="6" s="1"/>
  <c r="AC13" i="89" s="1"/>
  <c r="S48" i="6"/>
  <c r="U9" i="89"/>
  <c r="AB71" i="89"/>
  <c r="AA61" i="89"/>
  <c r="U84" i="89"/>
  <c r="U40" i="89"/>
  <c r="E16" i="55"/>
  <c r="U57" i="89"/>
  <c r="U49" i="89"/>
  <c r="U65" i="89"/>
  <c r="U63" i="89"/>
  <c r="U55" i="89"/>
  <c r="U47" i="89"/>
  <c r="H74" i="89"/>
  <c r="H83" i="89" s="1"/>
  <c r="H63" i="89"/>
  <c r="H57" i="89"/>
  <c r="H64" i="89"/>
  <c r="H51" i="89"/>
  <c r="H7" i="89"/>
  <c r="H23" i="89" s="1"/>
  <c r="H56" i="89"/>
  <c r="L58" i="89"/>
  <c r="L71" i="89"/>
  <c r="S66" i="89"/>
  <c r="U50" i="89"/>
  <c r="U71" i="89"/>
  <c r="U54" i="89"/>
  <c r="U66" i="89"/>
  <c r="U72" i="89"/>
  <c r="Q49" i="89"/>
  <c r="L64" i="89"/>
  <c r="L55" i="89"/>
  <c r="L69" i="89"/>
  <c r="AA51" i="89"/>
  <c r="M64" i="89"/>
  <c r="M49" i="89"/>
  <c r="U56" i="89"/>
  <c r="AA56" i="89"/>
  <c r="M54" i="89"/>
  <c r="L67" i="89"/>
  <c r="L62" i="89"/>
  <c r="K9" i="89"/>
  <c r="S22" i="6"/>
  <c r="E17" i="55"/>
  <c r="E18" i="55"/>
  <c r="E25" i="55"/>
  <c r="E30" i="55"/>
  <c r="E31" i="55"/>
  <c r="F18" i="55"/>
  <c r="U48" i="89"/>
  <c r="L72" i="89"/>
  <c r="H66" i="89"/>
  <c r="AA73" i="89"/>
  <c r="M73" i="89"/>
  <c r="M67" i="89"/>
  <c r="M59" i="89"/>
  <c r="M48" i="89"/>
  <c r="AA58" i="89"/>
  <c r="M61" i="89"/>
  <c r="M52" i="89"/>
  <c r="L60" i="89"/>
  <c r="AA57" i="89"/>
  <c r="S51" i="89"/>
  <c r="U67" i="89"/>
  <c r="U22" i="89"/>
  <c r="H67" i="89"/>
  <c r="AA47" i="89"/>
  <c r="M70" i="89"/>
  <c r="M62" i="89"/>
  <c r="AC56" i="89"/>
  <c r="L73" i="89"/>
  <c r="M71" i="89"/>
  <c r="L61" i="89"/>
  <c r="M55" i="89"/>
  <c r="M53" i="89"/>
  <c r="U60" i="89"/>
  <c r="L68" i="89"/>
  <c r="U64" i="89"/>
  <c r="U52" i="89"/>
  <c r="M51" i="89"/>
  <c r="L54" i="89"/>
  <c r="J33" i="6"/>
  <c r="AA78" i="89"/>
  <c r="Z77" i="89"/>
  <c r="F49" i="6"/>
  <c r="AX327" i="39" s="1"/>
  <c r="F37" i="55"/>
  <c r="E42" i="55"/>
  <c r="M58" i="89"/>
  <c r="AD62" i="89"/>
  <c r="I62" i="89"/>
  <c r="H53" i="89"/>
  <c r="AA69" i="89"/>
  <c r="U39" i="89"/>
  <c r="U24" i="89"/>
  <c r="U43" i="89"/>
  <c r="U18" i="89"/>
  <c r="U44" i="89"/>
  <c r="Q20" i="89"/>
  <c r="AA80" i="89"/>
  <c r="U25" i="89"/>
  <c r="U33" i="89"/>
  <c r="Q29" i="89"/>
  <c r="AC62" i="89"/>
  <c r="AA66" i="89"/>
  <c r="AA55" i="89"/>
  <c r="M74" i="89"/>
  <c r="M81" i="89" s="1"/>
  <c r="M63" i="89"/>
  <c r="AA63" i="89"/>
  <c r="M56" i="89"/>
  <c r="M72" i="89"/>
  <c r="M65" i="89"/>
  <c r="M69" i="89"/>
  <c r="AD73" i="89"/>
  <c r="M50" i="89"/>
  <c r="AD5" i="89"/>
  <c r="AD36" i="89" s="1"/>
  <c r="AB56" i="89"/>
  <c r="AB52" i="89"/>
  <c r="AB55" i="89"/>
  <c r="AB53" i="89"/>
  <c r="AB54" i="89"/>
  <c r="W74" i="89"/>
  <c r="W90" i="89" s="1"/>
  <c r="J31" i="6"/>
  <c r="G31" i="6" s="1"/>
  <c r="Z37" i="89"/>
  <c r="E26" i="55"/>
  <c r="E35" i="55"/>
  <c r="E21" i="55"/>
  <c r="F21" i="55"/>
  <c r="S28" i="6"/>
  <c r="U28" i="6" s="1"/>
  <c r="V13" i="89" s="1"/>
  <c r="E22" i="55"/>
  <c r="E20" i="55"/>
  <c r="F19" i="55"/>
  <c r="S26" i="6"/>
  <c r="W53" i="89"/>
  <c r="W57" i="89"/>
  <c r="W61" i="89"/>
  <c r="W65" i="89"/>
  <c r="W69" i="89"/>
  <c r="W73" i="89"/>
  <c r="H80" i="89"/>
  <c r="H82" i="89"/>
  <c r="H81" i="89"/>
  <c r="H85" i="89"/>
  <c r="AD49" i="89"/>
  <c r="AD48" i="89"/>
  <c r="AD51" i="89"/>
  <c r="AD47" i="89"/>
  <c r="AD50" i="89"/>
  <c r="AB59" i="89"/>
  <c r="K60" i="89"/>
  <c r="T45" i="89"/>
  <c r="V46" i="89"/>
  <c r="U30" i="89"/>
  <c r="U75" i="89"/>
  <c r="U77" i="89"/>
  <c r="F41" i="55"/>
  <c r="H72" i="89"/>
  <c r="U68" i="89"/>
  <c r="Z59" i="89"/>
  <c r="G61" i="89"/>
  <c r="H84" i="89"/>
  <c r="H75" i="89"/>
  <c r="H78" i="89"/>
  <c r="H90" i="89"/>
  <c r="L78" i="89"/>
  <c r="Z75" i="89"/>
  <c r="L87" i="89"/>
  <c r="AA75" i="89"/>
  <c r="AA88" i="89"/>
  <c r="L86" i="89"/>
  <c r="AA49" i="89"/>
  <c r="AA48" i="89"/>
  <c r="AA60" i="89"/>
  <c r="AA64" i="89"/>
  <c r="AA70" i="89"/>
  <c r="AA62" i="89"/>
  <c r="AA45" i="89"/>
  <c r="AA65" i="89"/>
  <c r="AA67" i="89"/>
  <c r="AA52" i="89"/>
  <c r="H88" i="89"/>
  <c r="H87" i="89"/>
  <c r="H76" i="89"/>
  <c r="H79" i="89"/>
  <c r="H86" i="89"/>
  <c r="H89" i="89"/>
  <c r="H77" i="89"/>
  <c r="L89" i="89"/>
  <c r="Z88" i="89"/>
  <c r="Z90" i="89"/>
  <c r="W87" i="89"/>
  <c r="Z21" i="89"/>
  <c r="G65" i="89"/>
  <c r="H43" i="89"/>
  <c r="AX244" i="39"/>
  <c r="AX284" i="39"/>
  <c r="B284" i="39" s="1"/>
  <c r="AD72" i="89"/>
  <c r="AD61" i="89"/>
  <c r="AD74" i="89"/>
  <c r="AD81" i="89" s="1"/>
  <c r="AD64" i="89"/>
  <c r="AD53" i="89"/>
  <c r="Y68" i="89"/>
  <c r="AB73" i="89"/>
  <c r="AB61" i="89"/>
  <c r="AB72" i="89"/>
  <c r="AB57" i="89"/>
  <c r="AC66" i="89"/>
  <c r="AC63" i="89"/>
  <c r="AB70" i="89"/>
  <c r="AB67" i="89"/>
  <c r="AD71" i="89"/>
  <c r="AD65" i="89"/>
  <c r="AD70" i="89"/>
  <c r="E65" i="89"/>
  <c r="Y71" i="89"/>
  <c r="Y60" i="89"/>
  <c r="Y51" i="89"/>
  <c r="Y70" i="89"/>
  <c r="Y58" i="89"/>
  <c r="Z66" i="89"/>
  <c r="Z70" i="89"/>
  <c r="AB69" i="89"/>
  <c r="O7" i="89"/>
  <c r="O26" i="89" s="1"/>
  <c r="O60" i="89"/>
  <c r="AD57" i="89"/>
  <c r="AD68" i="89"/>
  <c r="E67" i="89"/>
  <c r="I74" i="89"/>
  <c r="I78" i="89" s="1"/>
  <c r="I57" i="89"/>
  <c r="I63" i="89"/>
  <c r="I71" i="89"/>
  <c r="T60" i="89"/>
  <c r="T61" i="89"/>
  <c r="AB65" i="89"/>
  <c r="T54" i="89"/>
  <c r="I72" i="89"/>
  <c r="Z54" i="89"/>
  <c r="O71" i="89"/>
  <c r="T50" i="89"/>
  <c r="I52" i="89"/>
  <c r="Z73" i="89"/>
  <c r="K73" i="89"/>
  <c r="O57" i="89"/>
  <c r="O55" i="89"/>
  <c r="AC55" i="89"/>
  <c r="I67" i="89"/>
  <c r="I50" i="89"/>
  <c r="AD63" i="89"/>
  <c r="K65" i="89"/>
  <c r="O62" i="89"/>
  <c r="Z55" i="89"/>
  <c r="T49" i="89"/>
  <c r="J45" i="6"/>
  <c r="G45" i="6" s="1"/>
  <c r="J48" i="6"/>
  <c r="AX290" i="39"/>
  <c r="X61" i="89"/>
  <c r="G63" i="89"/>
  <c r="G62" i="89"/>
  <c r="V62" i="89"/>
  <c r="E9" i="89"/>
  <c r="F29" i="55"/>
  <c r="W82" i="89"/>
  <c r="X57" i="89"/>
  <c r="J38" i="6"/>
  <c r="AX177" i="39"/>
  <c r="AX309" i="39"/>
  <c r="V70" i="89"/>
  <c r="V54" i="89"/>
  <c r="X71" i="89"/>
  <c r="X55" i="89"/>
  <c r="AA38" i="89"/>
  <c r="AA37" i="89"/>
  <c r="AA42" i="89"/>
  <c r="AA18" i="89"/>
  <c r="AA34" i="89"/>
  <c r="AA33" i="89"/>
  <c r="AA35" i="89"/>
  <c r="AA23" i="89"/>
  <c r="J29" i="6"/>
  <c r="G29" i="6" s="1"/>
  <c r="V72" i="89"/>
  <c r="V66" i="89"/>
  <c r="V58" i="89"/>
  <c r="V50" i="89"/>
  <c r="J27" i="6"/>
  <c r="G27" i="6" s="1"/>
  <c r="X68" i="89"/>
  <c r="X60" i="89"/>
  <c r="X52" i="89"/>
  <c r="AX113" i="39"/>
  <c r="AD46" i="89"/>
  <c r="AD20" i="89"/>
  <c r="AD44" i="89"/>
  <c r="AD45" i="89"/>
  <c r="AD29" i="89"/>
  <c r="AD41" i="89"/>
  <c r="AD43" i="89"/>
  <c r="AD21" i="89"/>
  <c r="AD27" i="89"/>
  <c r="AD40" i="89"/>
  <c r="AD19" i="89"/>
  <c r="L21" i="89"/>
  <c r="L52" i="89"/>
  <c r="L29" i="89"/>
  <c r="L30" i="89"/>
  <c r="L45" i="89"/>
  <c r="L26" i="89"/>
  <c r="L37" i="89"/>
  <c r="L27" i="89"/>
  <c r="L24" i="89"/>
  <c r="L46" i="89"/>
  <c r="L35" i="89"/>
  <c r="L22" i="89"/>
  <c r="L20" i="89"/>
  <c r="L34" i="89"/>
  <c r="L49" i="89"/>
  <c r="L32" i="89"/>
  <c r="L40" i="89"/>
  <c r="L38" i="89"/>
  <c r="L43" i="89"/>
  <c r="L51" i="89"/>
  <c r="L50" i="89"/>
  <c r="L31" i="89"/>
  <c r="L39" i="89"/>
  <c r="L41" i="89"/>
  <c r="L28" i="89"/>
  <c r="L42" i="89"/>
  <c r="L18" i="89"/>
  <c r="L25" i="89"/>
  <c r="L33" i="89"/>
  <c r="L36" i="89"/>
  <c r="L44" i="89"/>
  <c r="L23" i="89"/>
  <c r="L19" i="89"/>
  <c r="L48" i="89"/>
  <c r="L47" i="89"/>
  <c r="V68" i="89"/>
  <c r="V64" i="89"/>
  <c r="V60" i="89"/>
  <c r="V56" i="89"/>
  <c r="V52" i="89"/>
  <c r="V48" i="89"/>
  <c r="V74" i="89"/>
  <c r="V86" i="89" s="1"/>
  <c r="J25" i="6"/>
  <c r="G25" i="6" s="1"/>
  <c r="V73" i="89"/>
  <c r="V71" i="89"/>
  <c r="V69" i="89"/>
  <c r="V67" i="89"/>
  <c r="V65" i="89"/>
  <c r="V63" i="89"/>
  <c r="V61" i="89"/>
  <c r="V59" i="89"/>
  <c r="V57" i="89"/>
  <c r="V55" i="89"/>
  <c r="V53" i="89"/>
  <c r="V51" i="89"/>
  <c r="V49" i="89"/>
  <c r="V47" i="89"/>
  <c r="V45" i="89"/>
  <c r="I89" i="89"/>
  <c r="I77" i="89"/>
  <c r="O37" i="89"/>
  <c r="V75" i="89"/>
  <c r="BW266" i="39" l="1"/>
  <c r="BW265" i="39"/>
  <c r="BW264" i="39"/>
  <c r="BW133" i="39"/>
  <c r="U22" i="6"/>
  <c r="G13" i="89" s="1"/>
  <c r="C15" i="55"/>
  <c r="G48" i="6"/>
  <c r="E51" i="4"/>
  <c r="BW54" i="39"/>
  <c r="BW52" i="39"/>
  <c r="BW58" i="39"/>
  <c r="BW61" i="39"/>
  <c r="BW57" i="39"/>
  <c r="BW53" i="39"/>
  <c r="BW60" i="39"/>
  <c r="BW56" i="39"/>
  <c r="BW51" i="39"/>
  <c r="BW55" i="39"/>
  <c r="BW59" i="39"/>
  <c r="BW62" i="39"/>
  <c r="AB62" i="89"/>
  <c r="Z68" i="89"/>
  <c r="D44" i="4"/>
  <c r="E33" i="55"/>
  <c r="Z36" i="89"/>
  <c r="S70" i="89"/>
  <c r="P67" i="89"/>
  <c r="Q48" i="89"/>
  <c r="Z48" i="89"/>
  <c r="Z80" i="89"/>
  <c r="Z76" i="89"/>
  <c r="Z83" i="89"/>
  <c r="Z81" i="89"/>
  <c r="Q21" i="6"/>
  <c r="P21" i="6" s="1"/>
  <c r="R21" i="6" s="1"/>
  <c r="T21" i="6"/>
  <c r="S21" i="6" s="1"/>
  <c r="U21" i="6" s="1"/>
  <c r="F13" i="89" s="1"/>
  <c r="Z40" i="89"/>
  <c r="Z82" i="89"/>
  <c r="Z87" i="89"/>
  <c r="Z86" i="89"/>
  <c r="Z25" i="89"/>
  <c r="Z78" i="89"/>
  <c r="Z45" i="89"/>
  <c r="E23" i="55"/>
  <c r="E19" i="55"/>
  <c r="F20" i="55"/>
  <c r="Z84" i="89"/>
  <c r="Z85" i="89"/>
  <c r="Z89" i="89"/>
  <c r="Z39" i="89"/>
  <c r="T58" i="89"/>
  <c r="F25" i="55"/>
  <c r="BW189" i="39"/>
  <c r="U34" i="89"/>
  <c r="E70" i="89"/>
  <c r="BW316" i="39"/>
  <c r="BW72" i="39"/>
  <c r="BW287" i="39"/>
  <c r="BW314" i="39"/>
  <c r="BW315" i="39"/>
  <c r="O42" i="89"/>
  <c r="BW34" i="39"/>
  <c r="BW35" i="39"/>
  <c r="BW32" i="39"/>
  <c r="BW33" i="39"/>
  <c r="BW30" i="39"/>
  <c r="BW31" i="39"/>
  <c r="BW28" i="39"/>
  <c r="BW29" i="39"/>
  <c r="BW26" i="39"/>
  <c r="BW27" i="39"/>
  <c r="BW24" i="39"/>
  <c r="BW25" i="39"/>
  <c r="BW22" i="39"/>
  <c r="BW23" i="39"/>
  <c r="BW20" i="39"/>
  <c r="BW21" i="39"/>
  <c r="BW235" i="39"/>
  <c r="BW234" i="39"/>
  <c r="BW233" i="39"/>
  <c r="BW282" i="39"/>
  <c r="B244" i="39"/>
  <c r="BW92" i="39"/>
  <c r="BW91" i="39"/>
  <c r="B327" i="39"/>
  <c r="BW41" i="39"/>
  <c r="BW75" i="39"/>
  <c r="BW277" i="39"/>
  <c r="BW274" i="39"/>
  <c r="BW272" i="39"/>
  <c r="BW276" i="39"/>
  <c r="BW278" i="39"/>
  <c r="BW273" i="39"/>
  <c r="BW275" i="39"/>
  <c r="W27" i="89"/>
  <c r="W18" i="89"/>
  <c r="W28" i="89"/>
  <c r="W24" i="89"/>
  <c r="W32" i="89"/>
  <c r="W26" i="89"/>
  <c r="W35" i="89"/>
  <c r="W36" i="89"/>
  <c r="X46" i="89"/>
  <c r="X54" i="89"/>
  <c r="X62" i="89"/>
  <c r="X70" i="89"/>
  <c r="W77" i="89"/>
  <c r="X59" i="89"/>
  <c r="X65" i="89"/>
  <c r="X53" i="89"/>
  <c r="E58" i="89"/>
  <c r="T66" i="89"/>
  <c r="T65" i="89"/>
  <c r="T55" i="89"/>
  <c r="E72" i="89"/>
  <c r="E73" i="89"/>
  <c r="W79" i="89"/>
  <c r="L75" i="89"/>
  <c r="L85" i="89"/>
  <c r="L82" i="89"/>
  <c r="L80" i="89"/>
  <c r="L79" i="89"/>
  <c r="S65" i="89"/>
  <c r="H45" i="89"/>
  <c r="W72" i="89"/>
  <c r="W68" i="89"/>
  <c r="W64" i="89"/>
  <c r="W60" i="89"/>
  <c r="W56" i="89"/>
  <c r="W52" i="89"/>
  <c r="E64" i="89"/>
  <c r="S47" i="89"/>
  <c r="Q67" i="89"/>
  <c r="E5" i="89"/>
  <c r="E42" i="89" s="1"/>
  <c r="T51" i="89"/>
  <c r="T5" i="89"/>
  <c r="Z47" i="89"/>
  <c r="T46" i="89"/>
  <c r="W21" i="89"/>
  <c r="W30" i="89"/>
  <c r="W29" i="89"/>
  <c r="W33" i="89"/>
  <c r="E34" i="89"/>
  <c r="E45" i="89"/>
  <c r="E37" i="89"/>
  <c r="E36" i="89"/>
  <c r="E33" i="89"/>
  <c r="E24" i="89"/>
  <c r="X48" i="89"/>
  <c r="X56" i="89"/>
  <c r="X64" i="89"/>
  <c r="X72" i="89"/>
  <c r="X47" i="89"/>
  <c r="X63" i="89"/>
  <c r="X73" i="89"/>
  <c r="X69" i="89"/>
  <c r="E57" i="89"/>
  <c r="T56" i="89"/>
  <c r="T68" i="89"/>
  <c r="T47" i="89"/>
  <c r="T73" i="89"/>
  <c r="E54" i="89"/>
  <c r="W80" i="89"/>
  <c r="L84" i="89"/>
  <c r="L88" i="89"/>
  <c r="P9" i="89"/>
  <c r="X45" i="89"/>
  <c r="W71" i="89"/>
  <c r="W67" i="89"/>
  <c r="W63" i="89"/>
  <c r="W59" i="89"/>
  <c r="W55" i="89"/>
  <c r="W51" i="89"/>
  <c r="L90" i="89"/>
  <c r="Q56" i="89"/>
  <c r="S68" i="89"/>
  <c r="P70" i="89"/>
  <c r="J61" i="89"/>
  <c r="S64" i="89"/>
  <c r="E52" i="89"/>
  <c r="T71" i="89"/>
  <c r="Q53" i="89"/>
  <c r="V90" i="89"/>
  <c r="W37" i="89"/>
  <c r="W34" i="89"/>
  <c r="W20" i="89"/>
  <c r="E48" i="89"/>
  <c r="E44" i="89"/>
  <c r="E18" i="89"/>
  <c r="E41" i="89"/>
  <c r="E27" i="89"/>
  <c r="E32" i="89"/>
  <c r="E28" i="89"/>
  <c r="E29" i="89"/>
  <c r="X74" i="89"/>
  <c r="X80" i="89" s="1"/>
  <c r="X50" i="89"/>
  <c r="X58" i="89"/>
  <c r="X66" i="89"/>
  <c r="X51" i="89"/>
  <c r="X67" i="89"/>
  <c r="H49" i="89"/>
  <c r="X49" i="89"/>
  <c r="W89" i="89"/>
  <c r="T69" i="89"/>
  <c r="T63" i="89"/>
  <c r="E55" i="89"/>
  <c r="T59" i="89"/>
  <c r="E66" i="89"/>
  <c r="W81" i="89"/>
  <c r="L77" i="89"/>
  <c r="L81" i="89"/>
  <c r="W70" i="89"/>
  <c r="W66" i="89"/>
  <c r="W62" i="89"/>
  <c r="W58" i="89"/>
  <c r="W54" i="89"/>
  <c r="L76" i="89"/>
  <c r="P64" i="89"/>
  <c r="Q54" i="89"/>
  <c r="J55" i="89"/>
  <c r="S48" i="89"/>
  <c r="S45" i="89"/>
  <c r="P72" i="89"/>
  <c r="O31" i="89"/>
  <c r="O18" i="89"/>
  <c r="O39" i="89"/>
  <c r="H25" i="89"/>
  <c r="B177" i="39"/>
  <c r="W83" i="89"/>
  <c r="G70" i="89"/>
  <c r="G71" i="89"/>
  <c r="G64" i="89"/>
  <c r="H19" i="89"/>
  <c r="W84" i="89"/>
  <c r="AA90" i="89"/>
  <c r="AA89" i="89"/>
  <c r="Q62" i="89"/>
  <c r="G69" i="89"/>
  <c r="U83" i="89"/>
  <c r="U82" i="89"/>
  <c r="H48" i="89"/>
  <c r="Q68" i="89"/>
  <c r="U19" i="89"/>
  <c r="AA83" i="89"/>
  <c r="J49" i="89"/>
  <c r="U41" i="89"/>
  <c r="U38" i="89"/>
  <c r="S59" i="89"/>
  <c r="J48" i="89"/>
  <c r="P7" i="89"/>
  <c r="S46" i="89"/>
  <c r="J73" i="89"/>
  <c r="J60" i="89"/>
  <c r="Q52" i="89"/>
  <c r="Q61" i="89"/>
  <c r="Q72" i="89"/>
  <c r="Q66" i="89"/>
  <c r="Q63" i="89"/>
  <c r="P65" i="89"/>
  <c r="S63" i="89"/>
  <c r="S69" i="89"/>
  <c r="J74" i="89"/>
  <c r="U78" i="89"/>
  <c r="U32" i="89"/>
  <c r="J70" i="89"/>
  <c r="J67" i="89"/>
  <c r="J68" i="89"/>
  <c r="S67" i="89"/>
  <c r="S74" i="89"/>
  <c r="S62" i="89"/>
  <c r="J71" i="89"/>
  <c r="S61" i="89"/>
  <c r="Q60" i="89"/>
  <c r="Q69" i="89"/>
  <c r="P69" i="89"/>
  <c r="O27" i="89"/>
  <c r="X83" i="89"/>
  <c r="O46" i="89"/>
  <c r="O40" i="89"/>
  <c r="W85" i="89"/>
  <c r="W78" i="89"/>
  <c r="G73" i="89"/>
  <c r="G74" i="89"/>
  <c r="G79" i="89" s="1"/>
  <c r="H20" i="89"/>
  <c r="H32" i="89"/>
  <c r="G72" i="89"/>
  <c r="H18" i="89"/>
  <c r="AA87" i="89"/>
  <c r="G60" i="89"/>
  <c r="P71" i="89"/>
  <c r="U80" i="89"/>
  <c r="U76" i="89"/>
  <c r="AA86" i="89"/>
  <c r="Q36" i="89"/>
  <c r="U21" i="89"/>
  <c r="U31" i="89"/>
  <c r="AA76" i="89"/>
  <c r="Q21" i="89"/>
  <c r="U29" i="89"/>
  <c r="U35" i="89"/>
  <c r="U37" i="89"/>
  <c r="J52" i="89"/>
  <c r="J63" i="89"/>
  <c r="Q57" i="89"/>
  <c r="S49" i="89"/>
  <c r="J51" i="89"/>
  <c r="P63" i="89"/>
  <c r="P73" i="89"/>
  <c r="J56" i="89"/>
  <c r="J66" i="89"/>
  <c r="Q74" i="89"/>
  <c r="Q83" i="89" s="1"/>
  <c r="Q50" i="89"/>
  <c r="P66" i="89"/>
  <c r="S55" i="89"/>
  <c r="S7" i="89"/>
  <c r="S25" i="89" s="1"/>
  <c r="U90" i="89"/>
  <c r="U79" i="89"/>
  <c r="J57" i="89"/>
  <c r="J62" i="89"/>
  <c r="S53" i="89"/>
  <c r="S56" i="89"/>
  <c r="S50" i="89"/>
  <c r="P62" i="89"/>
  <c r="Q64" i="89"/>
  <c r="Q59" i="89"/>
  <c r="P60" i="89"/>
  <c r="P74" i="89"/>
  <c r="U20" i="89"/>
  <c r="W75" i="89"/>
  <c r="W86" i="89"/>
  <c r="G66" i="89"/>
  <c r="G67" i="89"/>
  <c r="W88" i="89"/>
  <c r="H39" i="89"/>
  <c r="AA77" i="89"/>
  <c r="AA79" i="89"/>
  <c r="AA82" i="89"/>
  <c r="G68" i="89"/>
  <c r="U85" i="89"/>
  <c r="U81" i="89"/>
  <c r="U42" i="89"/>
  <c r="H35" i="89"/>
  <c r="S60" i="89"/>
  <c r="Q65" i="89"/>
  <c r="Q18" i="89"/>
  <c r="U27" i="89"/>
  <c r="U23" i="89"/>
  <c r="J47" i="89"/>
  <c r="U26" i="89"/>
  <c r="U36" i="89"/>
  <c r="U28" i="89"/>
  <c r="AA81" i="89"/>
  <c r="J54" i="89"/>
  <c r="P61" i="89"/>
  <c r="S54" i="89"/>
  <c r="J59" i="89"/>
  <c r="J69" i="89"/>
  <c r="Q71" i="89"/>
  <c r="Q70" i="89"/>
  <c r="P68" i="89"/>
  <c r="Q55" i="89"/>
  <c r="Q73" i="89"/>
  <c r="S72" i="89"/>
  <c r="AA84" i="89"/>
  <c r="J72" i="89"/>
  <c r="J53" i="89"/>
  <c r="J50" i="89"/>
  <c r="S52" i="89"/>
  <c r="S71" i="89"/>
  <c r="S58" i="89"/>
  <c r="S73" i="89"/>
  <c r="Q58" i="89"/>
  <c r="J58" i="89"/>
  <c r="X85" i="89"/>
  <c r="AD87" i="89"/>
  <c r="I79" i="89"/>
  <c r="I86" i="89"/>
  <c r="H42" i="89"/>
  <c r="H41" i="89"/>
  <c r="H21" i="89"/>
  <c r="M89" i="89"/>
  <c r="H26" i="89"/>
  <c r="H22" i="89"/>
  <c r="M87" i="89"/>
  <c r="Z35" i="89"/>
  <c r="Z31" i="89"/>
  <c r="Z43" i="89"/>
  <c r="Z26" i="89"/>
  <c r="Z41" i="89"/>
  <c r="Z29" i="89"/>
  <c r="Z20" i="89"/>
  <c r="Q32" i="89"/>
  <c r="Q35" i="89"/>
  <c r="Q26" i="89"/>
  <c r="Q25" i="89"/>
  <c r="Q22" i="89"/>
  <c r="Z46" i="89"/>
  <c r="AB60" i="89"/>
  <c r="E61" i="89"/>
  <c r="Z57" i="89"/>
  <c r="Z56" i="89"/>
  <c r="Z71" i="89"/>
  <c r="Z65" i="89"/>
  <c r="AD66" i="89"/>
  <c r="AB63" i="89"/>
  <c r="AB7" i="89"/>
  <c r="AB30" i="89" s="1"/>
  <c r="E59" i="89"/>
  <c r="Z67" i="89"/>
  <c r="E68" i="89"/>
  <c r="T67" i="89"/>
  <c r="T74" i="89"/>
  <c r="AB74" i="89"/>
  <c r="E60" i="89"/>
  <c r="E69" i="89"/>
  <c r="T7" i="89"/>
  <c r="X78" i="89"/>
  <c r="I85" i="89"/>
  <c r="I82" i="89"/>
  <c r="H46" i="89"/>
  <c r="H40" i="89"/>
  <c r="H44" i="89"/>
  <c r="M77" i="89"/>
  <c r="H38" i="89"/>
  <c r="H31" i="89"/>
  <c r="H34" i="89"/>
  <c r="Z49" i="89"/>
  <c r="Z28" i="89"/>
  <c r="Z38" i="89"/>
  <c r="Z27" i="89"/>
  <c r="Z42" i="89"/>
  <c r="H47" i="89"/>
  <c r="Q24" i="89"/>
  <c r="H30" i="89"/>
  <c r="Z32" i="89"/>
  <c r="Z33" i="89"/>
  <c r="Q19" i="89"/>
  <c r="Q31" i="89"/>
  <c r="Q34" i="89"/>
  <c r="Q23" i="89"/>
  <c r="Z62" i="89"/>
  <c r="Z58" i="89"/>
  <c r="Z61" i="89"/>
  <c r="Z53" i="89"/>
  <c r="AD56" i="89"/>
  <c r="AB58" i="89"/>
  <c r="AD55" i="89"/>
  <c r="E63" i="89"/>
  <c r="T57" i="89"/>
  <c r="AD59" i="89"/>
  <c r="E71" i="89"/>
  <c r="T48" i="89"/>
  <c r="T53" i="89"/>
  <c r="T62" i="89"/>
  <c r="T70" i="89"/>
  <c r="X82" i="89"/>
  <c r="AD77" i="89"/>
  <c r="I81" i="89"/>
  <c r="I76" i="89"/>
  <c r="M85" i="89"/>
  <c r="H29" i="89"/>
  <c r="H37" i="89"/>
  <c r="H24" i="89"/>
  <c r="M86" i="89"/>
  <c r="Z30" i="89"/>
  <c r="H33" i="89"/>
  <c r="Z24" i="89"/>
  <c r="Z23" i="89"/>
  <c r="Z18" i="89"/>
  <c r="H27" i="89"/>
  <c r="H36" i="89"/>
  <c r="Z19" i="89"/>
  <c r="Z34" i="89"/>
  <c r="Z22" i="89"/>
  <c r="Q28" i="89"/>
  <c r="Q38" i="89"/>
  <c r="Q41" i="89"/>
  <c r="Q37" i="89"/>
  <c r="Q27" i="89"/>
  <c r="Q33" i="89"/>
  <c r="H28" i="89"/>
  <c r="Z44" i="89"/>
  <c r="AD58" i="89"/>
  <c r="AB66" i="89"/>
  <c r="AD60" i="89"/>
  <c r="E53" i="89"/>
  <c r="Z51" i="89"/>
  <c r="E74" i="89"/>
  <c r="E78" i="89" s="1"/>
  <c r="T52" i="89"/>
  <c r="E56" i="89"/>
  <c r="AD52" i="89"/>
  <c r="E62" i="89"/>
  <c r="AX304" i="39"/>
  <c r="B304" i="39" s="1"/>
  <c r="R35" i="6"/>
  <c r="R40" i="6"/>
  <c r="AA10" i="89" s="1"/>
  <c r="E28" i="55"/>
  <c r="E38" i="55"/>
  <c r="P31" i="6"/>
  <c r="R31" i="6" s="1"/>
  <c r="AC10" i="89" s="1"/>
  <c r="S42" i="6"/>
  <c r="U42" i="6" s="1"/>
  <c r="N13" i="89" s="1"/>
  <c r="P42" i="6"/>
  <c r="R42" i="6" s="1"/>
  <c r="N10" i="89" s="1"/>
  <c r="N11" i="89" s="1" a="1"/>
  <c r="N11" i="89" s="1"/>
  <c r="BW240" i="39"/>
  <c r="F42" i="55"/>
  <c r="X79" i="89"/>
  <c r="X81" i="89"/>
  <c r="O21" i="89"/>
  <c r="O25" i="89"/>
  <c r="O28" i="89"/>
  <c r="S32" i="89"/>
  <c r="X88" i="89"/>
  <c r="X84" i="89"/>
  <c r="AD76" i="89"/>
  <c r="O30" i="89"/>
  <c r="O36" i="89"/>
  <c r="O34" i="89"/>
  <c r="O23" i="89"/>
  <c r="I88" i="89"/>
  <c r="AD39" i="89"/>
  <c r="AD26" i="89"/>
  <c r="AD37" i="89"/>
  <c r="AD34" i="89"/>
  <c r="AD42" i="89"/>
  <c r="AA39" i="89"/>
  <c r="AA26" i="89"/>
  <c r="AA19" i="89"/>
  <c r="AA32" i="89"/>
  <c r="AA31" i="89"/>
  <c r="M75" i="89"/>
  <c r="M80" i="89"/>
  <c r="S37" i="89"/>
  <c r="M88" i="89"/>
  <c r="Q85" i="89"/>
  <c r="P26" i="6"/>
  <c r="R26" i="6" s="1"/>
  <c r="W10" i="89" s="1"/>
  <c r="W23" i="89"/>
  <c r="W25" i="89"/>
  <c r="W19" i="89"/>
  <c r="W22" i="89"/>
  <c r="W31" i="89"/>
  <c r="S34" i="6"/>
  <c r="U34" i="6" s="1"/>
  <c r="L13" i="89" s="1"/>
  <c r="S47" i="6"/>
  <c r="U47" i="6" s="1"/>
  <c r="S85" i="89"/>
  <c r="S83" i="89"/>
  <c r="S87" i="89"/>
  <c r="S81" i="89"/>
  <c r="S80" i="89"/>
  <c r="S90" i="89"/>
  <c r="S76" i="89"/>
  <c r="S88" i="89"/>
  <c r="S78" i="89"/>
  <c r="S75" i="89"/>
  <c r="S82" i="89"/>
  <c r="S84" i="89"/>
  <c r="Q45" i="89"/>
  <c r="Q40" i="89"/>
  <c r="Q42" i="89"/>
  <c r="Q46" i="89"/>
  <c r="Q47" i="89"/>
  <c r="Q39" i="89"/>
  <c r="Q44" i="89"/>
  <c r="Q43" i="89"/>
  <c r="I7" i="89"/>
  <c r="I32" i="89" s="1"/>
  <c r="I60" i="89"/>
  <c r="I56" i="89"/>
  <c r="I51" i="89"/>
  <c r="I53" i="89"/>
  <c r="I65" i="89"/>
  <c r="I59" i="89"/>
  <c r="I61" i="89"/>
  <c r="I54" i="89"/>
  <c r="I66" i="89"/>
  <c r="I70" i="89"/>
  <c r="I69" i="89"/>
  <c r="I55" i="89"/>
  <c r="I73" i="89"/>
  <c r="I58" i="89"/>
  <c r="I64" i="89"/>
  <c r="K57" i="89"/>
  <c r="K56" i="89"/>
  <c r="K67" i="89"/>
  <c r="K70" i="89"/>
  <c r="K66" i="89"/>
  <c r="K54" i="89"/>
  <c r="K51" i="89"/>
  <c r="K72" i="89"/>
  <c r="K74" i="89"/>
  <c r="K55" i="89"/>
  <c r="K7" i="89"/>
  <c r="K49" i="89" s="1"/>
  <c r="K59" i="89"/>
  <c r="K58" i="89"/>
  <c r="K61" i="89"/>
  <c r="K52" i="89"/>
  <c r="K63" i="89"/>
  <c r="K62" i="89"/>
  <c r="K50" i="89"/>
  <c r="O54" i="89"/>
  <c r="O66" i="89"/>
  <c r="O65" i="89"/>
  <c r="O52" i="89"/>
  <c r="O58" i="89"/>
  <c r="O64" i="89"/>
  <c r="O61" i="89"/>
  <c r="O51" i="89"/>
  <c r="O74" i="89"/>
  <c r="O72" i="89"/>
  <c r="O56" i="89"/>
  <c r="O70" i="89"/>
  <c r="O63" i="89"/>
  <c r="O73" i="89"/>
  <c r="O50" i="89"/>
  <c r="O59" i="89"/>
  <c r="O68" i="89"/>
  <c r="Y64" i="89"/>
  <c r="Y52" i="89"/>
  <c r="Y69" i="89"/>
  <c r="Y59" i="89"/>
  <c r="Y72" i="89"/>
  <c r="Y53" i="89"/>
  <c r="Y62" i="89"/>
  <c r="Y73" i="89"/>
  <c r="Y55" i="89"/>
  <c r="Y54" i="89"/>
  <c r="Y74" i="89"/>
  <c r="Y56" i="89"/>
  <c r="Y7" i="89"/>
  <c r="Y43" i="89" s="1"/>
  <c r="Y50" i="89"/>
  <c r="Y63" i="89"/>
  <c r="Y65" i="89"/>
  <c r="Y57" i="89"/>
  <c r="Y61" i="89"/>
  <c r="AC7" i="89"/>
  <c r="AC60" i="89"/>
  <c r="AC68" i="89"/>
  <c r="AC65" i="89"/>
  <c r="AC74" i="89"/>
  <c r="AC67" i="89"/>
  <c r="AC71" i="89"/>
  <c r="AC69" i="89"/>
  <c r="AC57" i="89"/>
  <c r="AC58" i="89"/>
  <c r="AC73" i="89"/>
  <c r="AC70" i="89"/>
  <c r="AC59" i="89"/>
  <c r="AC61" i="89"/>
  <c r="AC72" i="89"/>
  <c r="AC54" i="89"/>
  <c r="AC64" i="89"/>
  <c r="J30" i="6"/>
  <c r="O9" i="89"/>
  <c r="AX136" i="39"/>
  <c r="J39" i="6"/>
  <c r="G39" i="6" s="1"/>
  <c r="AX248" i="39"/>
  <c r="B248" i="39" s="1"/>
  <c r="I9" i="89"/>
  <c r="J43" i="6"/>
  <c r="G43" i="6" s="1"/>
  <c r="AX279" i="39"/>
  <c r="B279" i="39" s="1"/>
  <c r="X76" i="89"/>
  <c r="O48" i="89"/>
  <c r="O41" i="89"/>
  <c r="O32" i="89"/>
  <c r="AD23" i="89"/>
  <c r="AD35" i="89"/>
  <c r="AD22" i="89"/>
  <c r="AD18" i="89"/>
  <c r="AD24" i="89"/>
  <c r="AD32" i="89"/>
  <c r="AD38" i="89"/>
  <c r="X75" i="89"/>
  <c r="X77" i="89"/>
  <c r="O49" i="89"/>
  <c r="O38" i="89"/>
  <c r="O47" i="89"/>
  <c r="O44" i="89"/>
  <c r="O35" i="89"/>
  <c r="I84" i="89"/>
  <c r="I83" i="89"/>
  <c r="I87" i="89"/>
  <c r="V81" i="89"/>
  <c r="X87" i="89"/>
  <c r="X90" i="89"/>
  <c r="X89" i="89"/>
  <c r="X86" i="89"/>
  <c r="V82" i="89"/>
  <c r="AD83" i="89"/>
  <c r="O45" i="89"/>
  <c r="O22" i="89"/>
  <c r="O33" i="89"/>
  <c r="O19" i="89"/>
  <c r="O24" i="89"/>
  <c r="O20" i="89"/>
  <c r="O43" i="89"/>
  <c r="I80" i="89"/>
  <c r="I75" i="89"/>
  <c r="I90" i="89"/>
  <c r="AD33" i="89"/>
  <c r="AD25" i="89"/>
  <c r="AD28" i="89"/>
  <c r="AD31" i="89"/>
  <c r="AD30" i="89"/>
  <c r="AA28" i="89"/>
  <c r="AA22" i="89"/>
  <c r="AA36" i="89"/>
  <c r="AA20" i="89"/>
  <c r="M76" i="89"/>
  <c r="S33" i="89"/>
  <c r="S46" i="6"/>
  <c r="E90" i="89"/>
  <c r="P27" i="6"/>
  <c r="R27" i="6" s="1"/>
  <c r="X10" i="89" s="1"/>
  <c r="X11" i="89" s="1" a="1"/>
  <c r="X11" i="89" s="1"/>
  <c r="P51" i="89"/>
  <c r="P20" i="89"/>
  <c r="P36" i="89"/>
  <c r="P31" i="89"/>
  <c r="P30" i="89"/>
  <c r="P49" i="89"/>
  <c r="P29" i="89"/>
  <c r="P21" i="89"/>
  <c r="P41" i="89"/>
  <c r="Q88" i="89"/>
  <c r="Q75" i="89"/>
  <c r="S39" i="89"/>
  <c r="S26" i="89"/>
  <c r="E86" i="89"/>
  <c r="E87" i="89"/>
  <c r="E89" i="89"/>
  <c r="AA44" i="89"/>
  <c r="AA27" i="89"/>
  <c r="AA29" i="89"/>
  <c r="AA24" i="89"/>
  <c r="AA43" i="89"/>
  <c r="O29" i="89"/>
  <c r="Q76" i="89"/>
  <c r="M82" i="89"/>
  <c r="M90" i="89"/>
  <c r="M83" i="89"/>
  <c r="M84" i="89"/>
  <c r="M78" i="89"/>
  <c r="M79" i="89"/>
  <c r="G33" i="6"/>
  <c r="P23" i="6"/>
  <c r="R23" i="6" s="1"/>
  <c r="AB10" i="89" s="1"/>
  <c r="S25" i="6"/>
  <c r="C19" i="55" s="1"/>
  <c r="P32" i="6"/>
  <c r="R32" i="6" s="1"/>
  <c r="S43" i="6"/>
  <c r="C36" i="55" s="1"/>
  <c r="S29" i="6"/>
  <c r="S32" i="6"/>
  <c r="S44" i="6"/>
  <c r="U44" i="6" s="1"/>
  <c r="T13" i="89" s="1"/>
  <c r="P38" i="6"/>
  <c r="R38" i="6" s="1"/>
  <c r="H10" i="89" s="1"/>
  <c r="H11" i="89" s="1" a="1"/>
  <c r="H11" i="89" s="1"/>
  <c r="P30" i="6"/>
  <c r="R30" i="6" s="1"/>
  <c r="O10" i="89" s="1"/>
  <c r="P29" i="6"/>
  <c r="R29" i="6" s="1"/>
  <c r="K10" i="89" s="1"/>
  <c r="K11" i="89" s="1" a="1"/>
  <c r="K11" i="89" s="1"/>
  <c r="P28" i="6"/>
  <c r="R28" i="6" s="1"/>
  <c r="V10" i="89" s="1"/>
  <c r="P37" i="6"/>
  <c r="R37" i="6" s="1"/>
  <c r="Y10" i="89" s="1"/>
  <c r="Y11" i="89" s="1" a="1"/>
  <c r="Y11" i="89" s="1"/>
  <c r="H4" i="39"/>
  <c r="S41" i="6"/>
  <c r="U41" i="6" s="1"/>
  <c r="M13" i="89" s="1"/>
  <c r="S45" i="6"/>
  <c r="U45" i="6" s="1"/>
  <c r="Q13" i="89" s="1"/>
  <c r="S37" i="6"/>
  <c r="U37" i="6" s="1"/>
  <c r="Y13" i="89" s="1"/>
  <c r="S40" i="6"/>
  <c r="U40" i="6" s="1"/>
  <c r="AA13" i="89" s="1"/>
  <c r="S30" i="6"/>
  <c r="C24" i="55" s="1"/>
  <c r="S33" i="6"/>
  <c r="P36" i="6"/>
  <c r="R36" i="6" s="1"/>
  <c r="S10" i="89" s="1"/>
  <c r="P45" i="6"/>
  <c r="R45" i="6" s="1"/>
  <c r="Q10" i="89" s="1"/>
  <c r="Q11" i="89" s="1" a="1"/>
  <c r="Q11" i="89" s="1"/>
  <c r="P47" i="6"/>
  <c r="R47" i="6" s="1"/>
  <c r="S39" i="6"/>
  <c r="U39" i="6" s="1"/>
  <c r="I13" i="89" s="1"/>
  <c r="P44" i="6"/>
  <c r="R44" i="6" s="1"/>
  <c r="T10" i="89" s="1"/>
  <c r="T11" i="89" s="1" a="1"/>
  <c r="T11" i="89" s="1"/>
  <c r="P34" i="6"/>
  <c r="R34" i="6" s="1"/>
  <c r="L10" i="89" s="1"/>
  <c r="L11" i="89" s="1" a="1"/>
  <c r="L11" i="89" s="1"/>
  <c r="P49" i="6"/>
  <c r="R49" i="6" s="1"/>
  <c r="P10" i="89" s="1"/>
  <c r="S49" i="6"/>
  <c r="U49" i="6" s="1"/>
  <c r="P13" i="89" s="1"/>
  <c r="S35" i="6"/>
  <c r="U35" i="6" s="1"/>
  <c r="S38" i="6"/>
  <c r="U38" i="6" s="1"/>
  <c r="H13" i="89" s="1"/>
  <c r="S23" i="6"/>
  <c r="S24" i="6"/>
  <c r="P22" i="6"/>
  <c r="R22" i="6" s="1"/>
  <c r="G10" i="89" s="1"/>
  <c r="P48" i="6"/>
  <c r="R48" i="6" s="1"/>
  <c r="J10" i="89" s="1"/>
  <c r="J11" i="89" s="1" a="1"/>
  <c r="J11" i="89" s="1"/>
  <c r="P43" i="6"/>
  <c r="R43" i="6" s="1"/>
  <c r="U10" i="89" s="1"/>
  <c r="U11" i="89" s="1" a="1"/>
  <c r="U11" i="89" s="1"/>
  <c r="P33" i="6"/>
  <c r="R33" i="6" s="1"/>
  <c r="Z10" i="89" s="1"/>
  <c r="Z11" i="89" s="1" a="1"/>
  <c r="Z11" i="89" s="1"/>
  <c r="P25" i="6"/>
  <c r="R25" i="6" s="1"/>
  <c r="AD10" i="89" s="1"/>
  <c r="S27" i="6"/>
  <c r="U27" i="6" s="1"/>
  <c r="X13" i="89" s="1"/>
  <c r="P39" i="6"/>
  <c r="R39" i="6" s="1"/>
  <c r="I10" i="89" s="1"/>
  <c r="I11" i="89" s="1" a="1"/>
  <c r="I11" i="89" s="1"/>
  <c r="S36" i="6"/>
  <c r="U36" i="6" s="1"/>
  <c r="S13" i="89" s="1"/>
  <c r="P24" i="6"/>
  <c r="R24" i="6" s="1"/>
  <c r="E10" i="89" s="1"/>
  <c r="E11" i="89" s="1" a="1"/>
  <c r="E11" i="89" s="1"/>
  <c r="P46" i="6"/>
  <c r="R46" i="6" s="1"/>
  <c r="R10" i="89" s="1"/>
  <c r="B82" i="39"/>
  <c r="Y18" i="89"/>
  <c r="B206" i="39"/>
  <c r="F32" i="55"/>
  <c r="B113" i="39"/>
  <c r="B290" i="39"/>
  <c r="AB21" i="89"/>
  <c r="AB33" i="89"/>
  <c r="AB35" i="89"/>
  <c r="AB29" i="89"/>
  <c r="AB24" i="89"/>
  <c r="AB20" i="89"/>
  <c r="AB18" i="89"/>
  <c r="AB47" i="89"/>
  <c r="AE6" i="89"/>
  <c r="Y48" i="89"/>
  <c r="T40" i="89"/>
  <c r="R60" i="89"/>
  <c r="V88" i="89"/>
  <c r="W76" i="89"/>
  <c r="Y32" i="89"/>
  <c r="U87" i="89"/>
  <c r="S79" i="89"/>
  <c r="Y41" i="89"/>
  <c r="E29" i="55"/>
  <c r="F35" i="55"/>
  <c r="F31" i="55"/>
  <c r="F34" i="55"/>
  <c r="F30" i="55"/>
  <c r="C39" i="55"/>
  <c r="U88" i="89"/>
  <c r="U86" i="89"/>
  <c r="X18" i="89"/>
  <c r="X29" i="89"/>
  <c r="X44" i="89"/>
  <c r="X23" i="89"/>
  <c r="X37" i="89"/>
  <c r="X20" i="89"/>
  <c r="X43" i="89"/>
  <c r="X22" i="89"/>
  <c r="X19" i="89"/>
  <c r="X25" i="89"/>
  <c r="X39" i="89"/>
  <c r="X34" i="89"/>
  <c r="X38" i="89"/>
  <c r="X32" i="89"/>
  <c r="X31" i="89"/>
  <c r="X26" i="89"/>
  <c r="X27" i="89"/>
  <c r="X40" i="89"/>
  <c r="X21" i="89"/>
  <c r="X28" i="89"/>
  <c r="X41" i="89"/>
  <c r="X33" i="89"/>
  <c r="X24" i="89"/>
  <c r="X36" i="89"/>
  <c r="X30" i="89"/>
  <c r="X35" i="89"/>
  <c r="X42" i="89"/>
  <c r="V27" i="89"/>
  <c r="V39" i="89"/>
  <c r="V23" i="89"/>
  <c r="V32" i="89"/>
  <c r="V18" i="89"/>
  <c r="V37" i="89"/>
  <c r="V19" i="89"/>
  <c r="V30" i="89"/>
  <c r="V31" i="89"/>
  <c r="V20" i="89"/>
  <c r="V25" i="89"/>
  <c r="V41" i="89"/>
  <c r="V44" i="89"/>
  <c r="V28" i="89"/>
  <c r="V43" i="89"/>
  <c r="V21" i="89"/>
  <c r="V42" i="89"/>
  <c r="V26" i="89"/>
  <c r="V34" i="89"/>
  <c r="V29" i="89"/>
  <c r="V40" i="89"/>
  <c r="V24" i="89"/>
  <c r="V33" i="89"/>
  <c r="V35" i="89"/>
  <c r="V38" i="89"/>
  <c r="V22" i="89"/>
  <c r="V36" i="89"/>
  <c r="V77" i="89"/>
  <c r="V87" i="89"/>
  <c r="V76" i="89"/>
  <c r="AD84" i="89"/>
  <c r="AD88" i="89"/>
  <c r="AD80" i="89"/>
  <c r="AD85" i="89"/>
  <c r="R67" i="89"/>
  <c r="V83" i="89"/>
  <c r="AD82" i="89"/>
  <c r="V80" i="89"/>
  <c r="E39" i="55"/>
  <c r="R65" i="89"/>
  <c r="V84" i="89"/>
  <c r="V89" i="89"/>
  <c r="AD75" i="89"/>
  <c r="AD90" i="89"/>
  <c r="AD78" i="89"/>
  <c r="V85" i="89"/>
  <c r="V78" i="89"/>
  <c r="V79" i="89"/>
  <c r="AD79" i="89"/>
  <c r="AD89" i="89"/>
  <c r="AD86" i="89"/>
  <c r="F39" i="55"/>
  <c r="C20" i="55"/>
  <c r="J37" i="89"/>
  <c r="J24" i="89"/>
  <c r="J32" i="89"/>
  <c r="J29" i="89"/>
  <c r="J19" i="89"/>
  <c r="J42" i="89"/>
  <c r="J20" i="89"/>
  <c r="J26" i="89"/>
  <c r="J18" i="89"/>
  <c r="J39" i="89"/>
  <c r="J31" i="89"/>
  <c r="J34" i="89"/>
  <c r="J35" i="89"/>
  <c r="J21" i="89"/>
  <c r="J25" i="89"/>
  <c r="J44" i="89"/>
  <c r="J30" i="89"/>
  <c r="J22" i="89"/>
  <c r="J36" i="89"/>
  <c r="J41" i="89"/>
  <c r="J33" i="89"/>
  <c r="J23" i="89"/>
  <c r="J46" i="89"/>
  <c r="J43" i="89"/>
  <c r="J28" i="89"/>
  <c r="J40" i="89"/>
  <c r="J38" i="89"/>
  <c r="J27" i="89"/>
  <c r="J45" i="89"/>
  <c r="G53" i="89"/>
  <c r="G24" i="89"/>
  <c r="G32" i="89"/>
  <c r="G31" i="89"/>
  <c r="G51" i="89"/>
  <c r="G19" i="89"/>
  <c r="G28" i="89"/>
  <c r="G57" i="89"/>
  <c r="G37" i="89"/>
  <c r="G21" i="89"/>
  <c r="G46" i="89"/>
  <c r="G30" i="89"/>
  <c r="G39" i="89"/>
  <c r="G56" i="89"/>
  <c r="G43" i="89"/>
  <c r="G52" i="89"/>
  <c r="G20" i="89"/>
  <c r="G49" i="89"/>
  <c r="G33" i="89"/>
  <c r="G58" i="89"/>
  <c r="G42" i="89"/>
  <c r="G26" i="89"/>
  <c r="G54" i="89"/>
  <c r="G22" i="89"/>
  <c r="G55" i="89"/>
  <c r="G40" i="89"/>
  <c r="G18" i="89"/>
  <c r="G35" i="89"/>
  <c r="G44" i="89"/>
  <c r="G45" i="89"/>
  <c r="G29" i="89"/>
  <c r="G38" i="89"/>
  <c r="G48" i="89"/>
  <c r="G23" i="89"/>
  <c r="G47" i="89"/>
  <c r="G59" i="89"/>
  <c r="G27" i="89"/>
  <c r="G36" i="89"/>
  <c r="G41" i="89"/>
  <c r="G25" i="89"/>
  <c r="G50" i="89"/>
  <c r="G34" i="89"/>
  <c r="G9" i="89"/>
  <c r="AX63" i="39"/>
  <c r="B63" i="39" s="1"/>
  <c r="V9" i="89"/>
  <c r="V11" i="89" s="1" a="1"/>
  <c r="V11" i="89" s="1"/>
  <c r="J28" i="6"/>
  <c r="E31" i="4" s="1"/>
  <c r="AX120" i="39"/>
  <c r="B120" i="39" s="1"/>
  <c r="P55" i="89"/>
  <c r="R49" i="89"/>
  <c r="R66" i="89"/>
  <c r="P24" i="89"/>
  <c r="R51" i="89"/>
  <c r="E40" i="4"/>
  <c r="G38" i="6"/>
  <c r="C37" i="55"/>
  <c r="C27" i="55"/>
  <c r="M34" i="89"/>
  <c r="M27" i="89"/>
  <c r="M24" i="89"/>
  <c r="M26" i="89"/>
  <c r="M37" i="89"/>
  <c r="M43" i="89"/>
  <c r="M42" i="89"/>
  <c r="M44" i="89"/>
  <c r="M18" i="89"/>
  <c r="M46" i="89"/>
  <c r="M21" i="89"/>
  <c r="M31" i="89"/>
  <c r="M47" i="89"/>
  <c r="M20" i="89"/>
  <c r="M33" i="89"/>
  <c r="M38" i="89"/>
  <c r="M19" i="89"/>
  <c r="M30" i="89"/>
  <c r="M32" i="89"/>
  <c r="M36" i="89"/>
  <c r="M40" i="89"/>
  <c r="M39" i="89"/>
  <c r="M23" i="89"/>
  <c r="M28" i="89"/>
  <c r="M29" i="89"/>
  <c r="M45" i="89"/>
  <c r="M22" i="89"/>
  <c r="M41" i="89"/>
  <c r="M35" i="89"/>
  <c r="M25" i="89"/>
  <c r="AC37" i="89"/>
  <c r="AC35" i="89"/>
  <c r="AC18" i="89"/>
  <c r="AC32" i="89"/>
  <c r="AC23" i="89"/>
  <c r="AC19" i="89"/>
  <c r="AC52" i="89"/>
  <c r="AC31" i="89"/>
  <c r="AC51" i="89"/>
  <c r="AC53" i="89"/>
  <c r="AC47" i="89"/>
  <c r="AC41" i="89"/>
  <c r="AC50" i="89"/>
  <c r="AC34" i="89"/>
  <c r="AC25" i="89"/>
  <c r="AC29" i="89"/>
  <c r="AC46" i="89"/>
  <c r="AC36" i="89"/>
  <c r="AC43" i="89"/>
  <c r="AC22" i="89"/>
  <c r="AC21" i="89"/>
  <c r="AC26" i="89"/>
  <c r="AC49" i="89"/>
  <c r="AC42" i="89"/>
  <c r="AC24" i="89"/>
  <c r="AC38" i="89"/>
  <c r="AC30" i="89"/>
  <c r="AC28" i="89"/>
  <c r="AC45" i="89"/>
  <c r="AC20" i="89"/>
  <c r="AC39" i="89"/>
  <c r="AC44" i="89"/>
  <c r="AC27" i="89"/>
  <c r="AC40" i="89"/>
  <c r="AC33" i="89"/>
  <c r="AC48" i="89"/>
  <c r="J40" i="6"/>
  <c r="G40" i="6" s="1"/>
  <c r="AA9" i="89"/>
  <c r="F51" i="6"/>
  <c r="AX253" i="39"/>
  <c r="B253" i="39" s="1"/>
  <c r="P57" i="89"/>
  <c r="P59" i="89"/>
  <c r="R57" i="89"/>
  <c r="R68" i="89"/>
  <c r="R52" i="89"/>
  <c r="P50" i="89"/>
  <c r="P53" i="89"/>
  <c r="R50" i="89"/>
  <c r="P58" i="89"/>
  <c r="P54" i="89"/>
  <c r="P52" i="89"/>
  <c r="R59" i="89"/>
  <c r="R74" i="89"/>
  <c r="R79" i="89" s="1"/>
  <c r="R58" i="89"/>
  <c r="B127" i="39"/>
  <c r="BW42" i="39"/>
  <c r="CK270" i="39" a="1"/>
  <c r="CK270" i="39" s="1"/>
  <c r="Z270" i="39" s="1"/>
  <c r="B166" i="39"/>
  <c r="BW131" i="39"/>
  <c r="CK80" i="39" a="1"/>
  <c r="CK80" i="39" s="1"/>
  <c r="Z80" i="39" s="1"/>
  <c r="BW252" i="39"/>
  <c r="B145" i="39"/>
  <c r="P56" i="89"/>
  <c r="G34" i="6"/>
  <c r="E36" i="4"/>
  <c r="G47" i="6"/>
  <c r="E45" i="4"/>
  <c r="C21" i="55"/>
  <c r="U26" i="6"/>
  <c r="W13" i="89" s="1"/>
  <c r="Q20" i="6"/>
  <c r="P20" i="6" s="1"/>
  <c r="R20" i="6" s="1"/>
  <c r="C10" i="89" s="1"/>
  <c r="AX11" i="39"/>
  <c r="B11" i="39" s="1"/>
  <c r="AX297" i="39"/>
  <c r="B297" i="39" s="1"/>
  <c r="J46" i="6"/>
  <c r="G46" i="6" s="1"/>
  <c r="R9" i="89"/>
  <c r="E50" i="4"/>
  <c r="C9" i="89"/>
  <c r="AA21" i="89"/>
  <c r="AA30" i="89"/>
  <c r="AA25" i="89"/>
  <c r="AA41" i="89"/>
  <c r="W9" i="89"/>
  <c r="J26" i="6"/>
  <c r="AX104" i="39"/>
  <c r="B104" i="39" s="1"/>
  <c r="AX210" i="39"/>
  <c r="B210" i="39" s="1"/>
  <c r="S9" i="89"/>
  <c r="J36" i="6"/>
  <c r="E37" i="4" s="1"/>
  <c r="AC9" i="89"/>
  <c r="AC11" i="89" s="1" a="1"/>
  <c r="AC11" i="89" s="1"/>
  <c r="J32" i="6"/>
  <c r="G32" i="6" s="1"/>
  <c r="AX157" i="39"/>
  <c r="B157" i="39" s="1"/>
  <c r="AB9" i="89"/>
  <c r="AX67" i="39"/>
  <c r="B67" i="39" s="1"/>
  <c r="AX257" i="39"/>
  <c r="B257" i="39" s="1"/>
  <c r="J41" i="6"/>
  <c r="E44" i="4" s="1"/>
  <c r="M9" i="89"/>
  <c r="M11" i="89" s="1" a="1"/>
  <c r="M11" i="89" s="1"/>
  <c r="J24" i="6"/>
  <c r="AX101" i="39"/>
  <c r="B101" i="39" s="1"/>
  <c r="AD9" i="89"/>
  <c r="AD11" i="89" s="1" a="1"/>
  <c r="AD11" i="89" s="1"/>
  <c r="W41" i="89"/>
  <c r="W48" i="89"/>
  <c r="W42" i="89"/>
  <c r="W43" i="89"/>
  <c r="W45" i="89"/>
  <c r="W49" i="89"/>
  <c r="W38" i="89"/>
  <c r="W46" i="89"/>
  <c r="W50" i="89"/>
  <c r="W44" i="89"/>
  <c r="W39" i="89"/>
  <c r="W47" i="89"/>
  <c r="W40" i="89"/>
  <c r="R69" i="89"/>
  <c r="R61" i="89"/>
  <c r="R53" i="89"/>
  <c r="R70" i="89"/>
  <c r="R62" i="89"/>
  <c r="R54" i="89"/>
  <c r="R7" i="89"/>
  <c r="R40" i="89" s="1"/>
  <c r="R71" i="89"/>
  <c r="R63" i="89"/>
  <c r="R55" i="89"/>
  <c r="R47" i="89"/>
  <c r="R72" i="89"/>
  <c r="R64" i="89"/>
  <c r="R56" i="89"/>
  <c r="R48" i="89"/>
  <c r="BW191" i="39"/>
  <c r="BW187" i="39"/>
  <c r="BW190" i="39"/>
  <c r="BW188" i="39"/>
  <c r="C40" i="55"/>
  <c r="BW47" i="39"/>
  <c r="BW100" i="39"/>
  <c r="CK114" i="39" a="1"/>
  <c r="CK114" i="39" s="1"/>
  <c r="Z114" i="39" s="1"/>
  <c r="CK126" i="39" a="1"/>
  <c r="CK126" i="39" s="1"/>
  <c r="Z126" i="39" s="1"/>
  <c r="CK119" i="39" a="1"/>
  <c r="CK119" i="39" s="1"/>
  <c r="Z119" i="39" s="1"/>
  <c r="CK68" i="39" a="1"/>
  <c r="CK68" i="39" s="1"/>
  <c r="Z68" i="39" s="1"/>
  <c r="CK74" i="39" a="1"/>
  <c r="CK74" i="39" s="1"/>
  <c r="Z74" i="39" s="1"/>
  <c r="BW44" i="39"/>
  <c r="CK44" i="39" a="1"/>
  <c r="CK44" i="39" s="1"/>
  <c r="Z44" i="39" s="1"/>
  <c r="CK172" i="39" a="1"/>
  <c r="CK172" i="39" s="1"/>
  <c r="Z172" i="39" s="1"/>
  <c r="CK13" i="39" a="1"/>
  <c r="CK13" i="39" s="1"/>
  <c r="Z13" i="39" s="1"/>
  <c r="CK147" i="39" a="1"/>
  <c r="CK147" i="39" s="1"/>
  <c r="Z147" i="39" s="1"/>
  <c r="CK155" i="39" a="1"/>
  <c r="CK155" i="39" s="1"/>
  <c r="Z155" i="39" s="1"/>
  <c r="CK197" i="39" a="1"/>
  <c r="CK197" i="39" s="1"/>
  <c r="Z197" i="39" s="1"/>
  <c r="CK236" i="39" a="1"/>
  <c r="CK236" i="39" s="1"/>
  <c r="Z236" i="39" s="1"/>
  <c r="CK323" i="39" a="1"/>
  <c r="CK323" i="39" s="1"/>
  <c r="Z323" i="39" s="1"/>
  <c r="BW297" i="39"/>
  <c r="BW144" i="39"/>
  <c r="BW222" i="39"/>
  <c r="U48" i="6"/>
  <c r="J13" i="89" s="1"/>
  <c r="CK329" i="39" a="1"/>
  <c r="CK329" i="39" s="1"/>
  <c r="Z329" i="39" s="1"/>
  <c r="BW103" i="39"/>
  <c r="BW99" i="39"/>
  <c r="BW85" i="39"/>
  <c r="CK112" i="39" a="1"/>
  <c r="CK112" i="39" s="1"/>
  <c r="Z112" i="39" s="1"/>
  <c r="CK106" i="39" a="1"/>
  <c r="CK106" i="39" s="1"/>
  <c r="Z106" i="39" s="1"/>
  <c r="CK115" i="39" a="1"/>
  <c r="CK115" i="39" s="1"/>
  <c r="Z115" i="39" s="1"/>
  <c r="CK121" i="39" a="1"/>
  <c r="CK121" i="39" s="1"/>
  <c r="Z121" i="39" s="1"/>
  <c r="CK122" i="39" a="1"/>
  <c r="CK122" i="39" s="1"/>
  <c r="Z122" i="39" s="1"/>
  <c r="CK116" i="39" a="1"/>
  <c r="CK116" i="39" s="1"/>
  <c r="Z116" i="39" s="1"/>
  <c r="CK117" i="39" a="1"/>
  <c r="CK117" i="39" s="1"/>
  <c r="Z117" i="39" s="1"/>
  <c r="CK118" i="39" a="1"/>
  <c r="CK118" i="39" s="1"/>
  <c r="Z118" i="39" s="1"/>
  <c r="CK123" i="39" a="1"/>
  <c r="CK123" i="39" s="1"/>
  <c r="Z123" i="39" s="1"/>
  <c r="CK331" i="39" a="1"/>
  <c r="CK331" i="39" s="1"/>
  <c r="Z331" i="39" s="1"/>
  <c r="CK124" i="39" a="1"/>
  <c r="CK124" i="39" s="1"/>
  <c r="Z124" i="39" s="1"/>
  <c r="CK125" i="39" a="1"/>
  <c r="CK125" i="39" s="1"/>
  <c r="Z125" i="39" s="1"/>
  <c r="CK151" i="39" a="1"/>
  <c r="CK151" i="39" s="1"/>
  <c r="Z151" i="39" s="1"/>
  <c r="CK152" i="39" a="1"/>
  <c r="CK152" i="39" s="1"/>
  <c r="Z152" i="39" s="1"/>
  <c r="CK154" i="39" a="1"/>
  <c r="CK154" i="39" s="1"/>
  <c r="Z154" i="39" s="1"/>
  <c r="CK16" i="39" a="1"/>
  <c r="CK16" i="39" s="1"/>
  <c r="Z16" i="39" s="1"/>
  <c r="CK69" i="39" a="1"/>
  <c r="CK69" i="39" s="1"/>
  <c r="Z69" i="39" s="1"/>
  <c r="CK70" i="39" a="1"/>
  <c r="CK70" i="39" s="1"/>
  <c r="Z70" i="39" s="1"/>
  <c r="CK71" i="39" a="1"/>
  <c r="CK71" i="39" s="1"/>
  <c r="Z71" i="39" s="1"/>
  <c r="CK73" i="39" a="1"/>
  <c r="CK73" i="39" s="1"/>
  <c r="Z73" i="39" s="1"/>
  <c r="CK76" i="39" a="1"/>
  <c r="CK76" i="39" s="1"/>
  <c r="Z76" i="39" s="1"/>
  <c r="CK79" i="39" a="1"/>
  <c r="CK79" i="39" s="1"/>
  <c r="Z79" i="39" s="1"/>
  <c r="CK81" i="39" a="1"/>
  <c r="CK81" i="39" s="1"/>
  <c r="Z81" i="39" s="1"/>
  <c r="CK319" i="39" a="1"/>
  <c r="CK319" i="39" s="1"/>
  <c r="Z319" i="39" s="1"/>
  <c r="CK320" i="39" a="1"/>
  <c r="CK320" i="39" s="1"/>
  <c r="Z320" i="39" s="1"/>
  <c r="CK321" i="39" a="1"/>
  <c r="CK321" i="39" s="1"/>
  <c r="Z321" i="39" s="1"/>
  <c r="CK192" i="39" a="1"/>
  <c r="CK192" i="39" s="1"/>
  <c r="Z192" i="39" s="1"/>
  <c r="CK246" i="39" a="1"/>
  <c r="CK246" i="39" s="1"/>
  <c r="Z246" i="39" s="1"/>
  <c r="CK38" i="39" a="1"/>
  <c r="CK38" i="39" s="1"/>
  <c r="Z38" i="39" s="1"/>
  <c r="C42" i="55"/>
  <c r="CK333" i="39" a="1"/>
  <c r="CK333" i="39" s="1"/>
  <c r="Z333" i="39" s="1"/>
  <c r="CK330" i="39" a="1"/>
  <c r="CK330" i="39" s="1"/>
  <c r="Z330" i="39" s="1"/>
  <c r="CK337" i="39" a="1"/>
  <c r="CK337" i="39" s="1"/>
  <c r="Z337" i="39" s="1"/>
  <c r="C30" i="55"/>
  <c r="CK12" i="39" a="1"/>
  <c r="CK12" i="39" s="1"/>
  <c r="Z12" i="39" s="1"/>
  <c r="CK14" i="39" a="1"/>
  <c r="CK14" i="39" s="1"/>
  <c r="Z14" i="39" s="1"/>
  <c r="CK15" i="39" a="1"/>
  <c r="CK15" i="39" s="1"/>
  <c r="Z15" i="39" s="1"/>
  <c r="CK36" i="39" a="1"/>
  <c r="CK36" i="39" s="1"/>
  <c r="Z36" i="39" s="1"/>
  <c r="CK39" i="39" a="1"/>
  <c r="CK39" i="39" s="1"/>
  <c r="Z39" i="39" s="1"/>
  <c r="CK45" i="39" a="1"/>
  <c r="CK45" i="39" s="1"/>
  <c r="Z45" i="39" s="1"/>
  <c r="CK47" i="39" a="1"/>
  <c r="CK47" i="39" s="1"/>
  <c r="Z47" i="39" s="1"/>
  <c r="CK49" i="39" a="1"/>
  <c r="CK49" i="39" s="1"/>
  <c r="Z49" i="39" s="1"/>
  <c r="CK50" i="39" a="1"/>
  <c r="CK50" i="39" s="1"/>
  <c r="Z50" i="39" s="1"/>
  <c r="CK64" i="39" a="1"/>
  <c r="CK64" i="39" s="1"/>
  <c r="Z64" i="39" s="1"/>
  <c r="CK66" i="39" a="1"/>
  <c r="CK66" i="39" s="1"/>
  <c r="Z66" i="39" s="1"/>
  <c r="CK102" i="39" a="1"/>
  <c r="CK102" i="39" s="1"/>
  <c r="Z102" i="39" s="1"/>
  <c r="CK103" i="39" a="1"/>
  <c r="CK103" i="39" s="1"/>
  <c r="Z103" i="39" s="1"/>
  <c r="CK128" i="39" a="1"/>
  <c r="CK128" i="39" s="1"/>
  <c r="Z128" i="39" s="1"/>
  <c r="CK130" i="39" a="1"/>
  <c r="CK130" i="39" s="1"/>
  <c r="Z130" i="39" s="1"/>
  <c r="CK132" i="39" a="1"/>
  <c r="CK132" i="39" s="1"/>
  <c r="Z132" i="39" s="1"/>
  <c r="CK134" i="39" a="1"/>
  <c r="CK134" i="39" s="1"/>
  <c r="Z134" i="39" s="1"/>
  <c r="CK135" i="39" a="1"/>
  <c r="CK135" i="39" s="1"/>
  <c r="Z135" i="39" s="1"/>
  <c r="CK137" i="39" a="1"/>
  <c r="CK137" i="39" s="1"/>
  <c r="Z137" i="39" s="1"/>
  <c r="CK138" i="39" a="1"/>
  <c r="CK138" i="39" s="1"/>
  <c r="Z138" i="39" s="1"/>
  <c r="CK139" i="39" a="1"/>
  <c r="CK139" i="39" s="1"/>
  <c r="Z139" i="39" s="1"/>
  <c r="CK141" i="39" a="1"/>
  <c r="CK141" i="39" s="1"/>
  <c r="Z141" i="39" s="1"/>
  <c r="CK142" i="39" a="1"/>
  <c r="CK142" i="39" s="1"/>
  <c r="Z142" i="39" s="1"/>
  <c r="CK144" i="39" a="1"/>
  <c r="CK144" i="39" s="1"/>
  <c r="Z144" i="39" s="1"/>
  <c r="CK146" i="39" a="1"/>
  <c r="CK146" i="39" s="1"/>
  <c r="Z146" i="39" s="1"/>
  <c r="CK149" i="39" a="1"/>
  <c r="CK149" i="39" s="1"/>
  <c r="Z149" i="39" s="1"/>
  <c r="CK153" i="39" a="1"/>
  <c r="CK153" i="39" s="1"/>
  <c r="Z153" i="39" s="1"/>
  <c r="CK156" i="39" a="1"/>
  <c r="CK156" i="39" s="1"/>
  <c r="Z156" i="39" s="1"/>
  <c r="CK158" i="39" a="1"/>
  <c r="CK158" i="39" s="1"/>
  <c r="Z158" i="39" s="1"/>
  <c r="CK159" i="39" a="1"/>
  <c r="CK159" i="39" s="1"/>
  <c r="Z159" i="39" s="1"/>
  <c r="CK160" i="39" a="1"/>
  <c r="CK160" i="39" s="1"/>
  <c r="Z160" i="39" s="1"/>
  <c r="CK161" i="39" a="1"/>
  <c r="CK161" i="39" s="1"/>
  <c r="Z161" i="39" s="1"/>
  <c r="CK163" i="39" a="1"/>
  <c r="CK163" i="39" s="1"/>
  <c r="Z163" i="39" s="1"/>
  <c r="CK164" i="39" a="1"/>
  <c r="CK164" i="39" s="1"/>
  <c r="Z164" i="39" s="1"/>
  <c r="CK165" i="39" a="1"/>
  <c r="CK165" i="39" s="1"/>
  <c r="Z165" i="39" s="1"/>
  <c r="CK167" i="39" a="1"/>
  <c r="CK167" i="39" s="1"/>
  <c r="Z167" i="39" s="1"/>
  <c r="CK168" i="39" a="1"/>
  <c r="CK168" i="39" s="1"/>
  <c r="Z168" i="39" s="1"/>
  <c r="CK169" i="39" a="1"/>
  <c r="CK169" i="39" s="1"/>
  <c r="Z169" i="39" s="1"/>
  <c r="CK170" i="39" a="1"/>
  <c r="CK170" i="39" s="1"/>
  <c r="Z170" i="39" s="1"/>
  <c r="CK171" i="39" a="1"/>
  <c r="CK171" i="39" s="1"/>
  <c r="Z171" i="39" s="1"/>
  <c r="CK175" i="39" a="1"/>
  <c r="CK175" i="39" s="1"/>
  <c r="Z175" i="39" s="1"/>
  <c r="CK176" i="39" a="1"/>
  <c r="CK176" i="39" s="1"/>
  <c r="Z176" i="39" s="1"/>
  <c r="CK178" i="39" a="1"/>
  <c r="CK178" i="39" s="1"/>
  <c r="Z178" i="39" s="1"/>
  <c r="CK179" i="39" a="1"/>
  <c r="CK179" i="39" s="1"/>
  <c r="Z179" i="39" s="1"/>
  <c r="CK180" i="39" a="1"/>
  <c r="CK180" i="39" s="1"/>
  <c r="Z180" i="39" s="1"/>
  <c r="CK181" i="39" a="1"/>
  <c r="CK181" i="39" s="1"/>
  <c r="Z181" i="39" s="1"/>
  <c r="CK182" i="39" a="1"/>
  <c r="CK182" i="39" s="1"/>
  <c r="Z182" i="39" s="1"/>
  <c r="CK184" i="39" a="1"/>
  <c r="CK184" i="39" s="1"/>
  <c r="Z184" i="39" s="1"/>
  <c r="CK186" i="39" a="1"/>
  <c r="CK186" i="39" s="1"/>
  <c r="Z186" i="39" s="1"/>
  <c r="CK193" i="39" a="1"/>
  <c r="CK193" i="39" s="1"/>
  <c r="Z193" i="39" s="1"/>
  <c r="CK194" i="39" a="1"/>
  <c r="CK194" i="39" s="1"/>
  <c r="Z194" i="39" s="1"/>
  <c r="CK195" i="39" a="1"/>
  <c r="CK195" i="39" s="1"/>
  <c r="Z195" i="39" s="1"/>
  <c r="CK198" i="39" a="1"/>
  <c r="CK198" i="39" s="1"/>
  <c r="Z198" i="39" s="1"/>
  <c r="CK200" i="39" a="1"/>
  <c r="CK200" i="39" s="1"/>
  <c r="Z200" i="39" s="1"/>
  <c r="CK201" i="39" a="1"/>
  <c r="CK201" i="39" s="1"/>
  <c r="Z201" i="39" s="1"/>
  <c r="CK202" i="39" a="1"/>
  <c r="CK202" i="39" s="1"/>
  <c r="Z202" i="39" s="1"/>
  <c r="CK203" i="39" a="1"/>
  <c r="CK203" i="39" s="1"/>
  <c r="Z203" i="39" s="1"/>
  <c r="CK204" i="39" a="1"/>
  <c r="CK204" i="39" s="1"/>
  <c r="Z204" i="39" s="1"/>
  <c r="CK205" i="39" a="1"/>
  <c r="CK205" i="39" s="1"/>
  <c r="Z205" i="39" s="1"/>
  <c r="CK207" i="39" a="1"/>
  <c r="CK207" i="39" s="1"/>
  <c r="Z207" i="39" s="1"/>
  <c r="C41" i="55"/>
  <c r="CK108" i="39" a="1"/>
  <c r="CK108" i="39" s="1"/>
  <c r="Z108" i="39" s="1"/>
  <c r="CK43" i="39" a="1"/>
  <c r="CK43" i="39" s="1"/>
  <c r="Z43" i="39" s="1"/>
  <c r="BW184" i="39"/>
  <c r="BW151" i="39"/>
  <c r="BW332" i="39"/>
  <c r="CK208" i="39" a="1"/>
  <c r="CK208" i="39" s="1"/>
  <c r="Z208" i="39" s="1"/>
  <c r="CK209" i="39" a="1"/>
  <c r="CK209" i="39" s="1"/>
  <c r="Z209" i="39" s="1"/>
  <c r="CK212" i="39" a="1"/>
  <c r="CK212" i="39" s="1"/>
  <c r="Z212" i="39" s="1"/>
  <c r="CK213" i="39" a="1"/>
  <c r="CK213" i="39" s="1"/>
  <c r="Z213" i="39" s="1"/>
  <c r="CK216" i="39" a="1"/>
  <c r="CK216" i="39" s="1"/>
  <c r="Z216" i="39" s="1"/>
  <c r="CK226" i="39" a="1"/>
  <c r="CK226" i="39" s="1"/>
  <c r="Z226" i="39" s="1"/>
  <c r="CK228" i="39" a="1"/>
  <c r="CK228" i="39" s="1"/>
  <c r="Z228" i="39" s="1"/>
  <c r="CK229" i="39" a="1"/>
  <c r="CK229" i="39" s="1"/>
  <c r="Z229" i="39" s="1"/>
  <c r="CK231" i="39" a="1"/>
  <c r="CK231" i="39" s="1"/>
  <c r="Z231" i="39" s="1"/>
  <c r="CK232" i="39" a="1"/>
  <c r="CK232" i="39" s="1"/>
  <c r="Z232" i="39" s="1"/>
  <c r="CK237" i="39" a="1"/>
  <c r="CK237" i="39" s="1"/>
  <c r="Z237" i="39" s="1"/>
  <c r="CK238" i="39" a="1"/>
  <c r="CK238" i="39" s="1"/>
  <c r="Z238" i="39" s="1"/>
  <c r="CK240" i="39" a="1"/>
  <c r="CK240" i="39" s="1"/>
  <c r="Z240" i="39" s="1"/>
  <c r="CK241" i="39" a="1"/>
  <c r="CK241" i="39" s="1"/>
  <c r="Z241" i="39" s="1"/>
  <c r="CK242" i="39" a="1"/>
  <c r="CK242" i="39" s="1"/>
  <c r="Z242" i="39" s="1"/>
  <c r="CK243" i="39" a="1"/>
  <c r="CK243" i="39" s="1"/>
  <c r="Z243" i="39" s="1"/>
  <c r="CK245" i="39" a="1"/>
  <c r="CK245" i="39" s="1"/>
  <c r="Z245" i="39" s="1"/>
  <c r="CK249" i="39" a="1"/>
  <c r="CK249" i="39" s="1"/>
  <c r="Z249" i="39" s="1"/>
  <c r="CK250" i="39" a="1"/>
  <c r="CK250" i="39" s="1"/>
  <c r="Z250" i="39" s="1"/>
  <c r="CK252" i="39" a="1"/>
  <c r="CK252" i="39" s="1"/>
  <c r="Z252" i="39" s="1"/>
  <c r="CK254" i="39" a="1"/>
  <c r="CK254" i="39" s="1"/>
  <c r="Z254" i="39" s="1"/>
  <c r="CK255" i="39" a="1"/>
  <c r="CK255" i="39" s="1"/>
  <c r="Z255" i="39" s="1"/>
  <c r="CK258" i="39" a="1"/>
  <c r="CK258" i="39" s="1"/>
  <c r="Z258" i="39" s="1"/>
  <c r="CK259" i="39" a="1"/>
  <c r="CK259" i="39" s="1"/>
  <c r="Z259" i="39" s="1"/>
  <c r="CK260" i="39" a="1"/>
  <c r="CK260" i="39" s="1"/>
  <c r="Z260" i="39" s="1"/>
  <c r="CK261" i="39" a="1"/>
  <c r="CK261" i="39" s="1"/>
  <c r="Z261" i="39" s="1"/>
  <c r="CK263" i="39" a="1"/>
  <c r="CK263" i="39" s="1"/>
  <c r="Z263" i="39" s="1"/>
  <c r="CK269" i="39" a="1"/>
  <c r="CK269" i="39" s="1"/>
  <c r="Z269" i="39" s="1"/>
  <c r="CK271" i="39" a="1"/>
  <c r="CK271" i="39" s="1"/>
  <c r="Z271" i="39" s="1"/>
  <c r="CK280" i="39" a="1"/>
  <c r="CK280" i="39" s="1"/>
  <c r="Z280" i="39" s="1"/>
  <c r="CK283" i="39" a="1"/>
  <c r="CK283" i="39" s="1"/>
  <c r="Z283" i="39" s="1"/>
  <c r="CK285" i="39" a="1"/>
  <c r="CK285" i="39" s="1"/>
  <c r="Z285" i="39" s="1"/>
  <c r="CK286" i="39" a="1"/>
  <c r="CK286" i="39" s="1"/>
  <c r="Z286" i="39" s="1"/>
  <c r="CK288" i="39" a="1"/>
  <c r="CK288" i="39" s="1"/>
  <c r="Z288" i="39" s="1"/>
  <c r="CK289" i="39" a="1"/>
  <c r="CK289" i="39" s="1"/>
  <c r="Z289" i="39" s="1"/>
  <c r="CK291" i="39" a="1"/>
  <c r="CK291" i="39" s="1"/>
  <c r="Z291" i="39" s="1"/>
  <c r="CK294" i="39" a="1"/>
  <c r="CK294" i="39" s="1"/>
  <c r="Z294" i="39" s="1"/>
  <c r="CK295" i="39" a="1"/>
  <c r="CK295" i="39" s="1"/>
  <c r="Z295" i="39" s="1"/>
  <c r="CK296" i="39" a="1"/>
  <c r="CK296" i="39" s="1"/>
  <c r="Z296" i="39" s="1"/>
  <c r="CK305" i="39" a="1"/>
  <c r="CK305" i="39" s="1"/>
  <c r="Z305" i="39" s="1"/>
  <c r="CK306" i="39" a="1"/>
  <c r="CK306" i="39" s="1"/>
  <c r="Z306" i="39" s="1"/>
  <c r="CK307" i="39" a="1"/>
  <c r="CK307" i="39" s="1"/>
  <c r="Z307" i="39" s="1"/>
  <c r="CK310" i="39" a="1"/>
  <c r="CK310" i="39" s="1"/>
  <c r="Z310" i="39" s="1"/>
  <c r="CK312" i="39" a="1"/>
  <c r="CK312" i="39" s="1"/>
  <c r="Z312" i="39" s="1"/>
  <c r="CK313" i="39" a="1"/>
  <c r="CK313" i="39" s="1"/>
  <c r="Z313" i="39" s="1"/>
  <c r="CK317" i="39" a="1"/>
  <c r="CK317" i="39" s="1"/>
  <c r="Z317" i="39" s="1"/>
  <c r="CK322" i="39" a="1"/>
  <c r="CK322" i="39" s="1"/>
  <c r="Z322" i="39" s="1"/>
  <c r="CK324" i="39" a="1"/>
  <c r="CK324" i="39" s="1"/>
  <c r="Z324" i="39" s="1"/>
  <c r="CK326" i="39" a="1"/>
  <c r="CK326" i="39" s="1"/>
  <c r="Z326" i="39" s="1"/>
  <c r="CK328" i="39" a="1"/>
  <c r="CK328" i="39" s="1"/>
  <c r="Z328" i="39" s="1"/>
  <c r="BW328" i="39"/>
  <c r="BW313" i="39"/>
  <c r="BW306" i="39"/>
  <c r="BW295" i="39"/>
  <c r="BW291" i="39"/>
  <c r="BW280" i="39"/>
  <c r="CK84" i="39" a="1"/>
  <c r="CK84" i="39" s="1"/>
  <c r="Z84" i="39" s="1"/>
  <c r="CK86" i="39" a="1"/>
  <c r="CK86" i="39" s="1"/>
  <c r="Z86" i="39" s="1"/>
  <c r="CK87" i="39" a="1"/>
  <c r="CK87" i="39" s="1"/>
  <c r="Z87" i="39" s="1"/>
  <c r="CK95" i="39" a="1"/>
  <c r="CK95" i="39" s="1"/>
  <c r="Z95" i="39" s="1"/>
  <c r="BW267" i="39"/>
  <c r="BW242" i="39"/>
  <c r="BW238" i="39"/>
  <c r="BW231" i="39"/>
  <c r="BW227" i="39"/>
  <c r="BW208" i="39"/>
  <c r="BW204" i="39"/>
  <c r="BW186" i="39"/>
  <c r="BW174" i="39"/>
  <c r="BW116" i="39"/>
  <c r="BW80" i="39"/>
  <c r="BW331" i="39"/>
  <c r="BW215" i="39"/>
  <c r="BW245" i="39"/>
  <c r="BW279" i="39"/>
  <c r="BW79" i="39"/>
  <c r="BW126" i="39"/>
  <c r="BW219" i="39"/>
  <c r="BW236" i="39"/>
  <c r="BW325" i="39"/>
  <c r="BW262" i="39"/>
  <c r="BW111" i="39"/>
  <c r="CK325" i="39" a="1"/>
  <c r="CK325" i="39" s="1"/>
  <c r="Z325" i="39" s="1"/>
  <c r="CK340" i="39" a="1"/>
  <c r="CK340" i="39" s="1"/>
  <c r="Z340" i="39" s="1"/>
  <c r="BW96" i="39"/>
  <c r="BW237" i="39"/>
  <c r="BW153" i="39"/>
  <c r="BW149" i="39"/>
  <c r="BW108" i="39"/>
  <c r="BW333" i="39"/>
  <c r="BW77" i="39"/>
  <c r="BW305" i="39"/>
  <c r="BW261" i="39"/>
  <c r="BW249" i="39"/>
  <c r="BW206" i="39"/>
  <c r="BW320" i="39"/>
  <c r="BW243" i="39"/>
  <c r="BW303" i="39"/>
  <c r="BW281" i="39"/>
  <c r="BW292" i="39"/>
  <c r="BW220" i="39"/>
  <c r="BW217" i="39"/>
  <c r="BW225" i="39"/>
  <c r="BW338" i="39"/>
  <c r="BW164" i="39"/>
  <c r="BW139" i="39"/>
  <c r="BW106" i="39"/>
  <c r="BW69" i="39"/>
  <c r="BW82" i="39"/>
  <c r="BW152" i="39"/>
  <c r="BW147" i="39"/>
  <c r="BW195" i="39"/>
  <c r="BW87" i="39"/>
  <c r="BW294" i="39"/>
  <c r="BW259" i="39"/>
  <c r="BW229" i="39"/>
  <c r="BW207" i="39"/>
  <c r="BW311" i="39"/>
  <c r="BW300" i="39"/>
  <c r="BW323" i="39"/>
  <c r="BW218" i="39"/>
  <c r="BW223" i="39"/>
  <c r="BW214" i="39"/>
  <c r="BW335" i="39"/>
  <c r="BW137" i="39"/>
  <c r="BW145" i="39"/>
  <c r="BW98" i="39"/>
  <c r="BW135" i="39"/>
  <c r="BW127" i="39"/>
  <c r="BW244" i="39"/>
  <c r="BW339" i="39"/>
  <c r="BW327" i="39"/>
  <c r="BW283" i="39"/>
  <c r="BW254" i="39"/>
  <c r="BW228" i="39"/>
  <c r="BW289" i="39"/>
  <c r="BW232" i="39"/>
  <c r="BW248" i="39"/>
  <c r="BW299" i="39"/>
  <c r="BW312" i="39"/>
  <c r="BW224" i="39"/>
  <c r="BW221" i="39"/>
  <c r="BW107" i="39"/>
  <c r="BW334" i="39"/>
  <c r="BW101" i="39"/>
  <c r="B227" i="39"/>
  <c r="B309" i="39"/>
  <c r="BW253" i="39"/>
  <c r="D37" i="4"/>
  <c r="D50" i="4"/>
  <c r="BW324" i="39"/>
  <c r="BW269" i="39"/>
  <c r="CK90" i="39" a="1"/>
  <c r="CK90" i="39" s="1"/>
  <c r="Z90" i="39" s="1"/>
  <c r="CK96" i="39" a="1"/>
  <c r="CK96" i="39" s="1"/>
  <c r="Z96" i="39" s="1"/>
  <c r="CK98" i="39" a="1"/>
  <c r="CK98" i="39" s="1"/>
  <c r="Z98" i="39" s="1"/>
  <c r="CK99" i="39" a="1"/>
  <c r="CK99" i="39" s="1"/>
  <c r="Z99" i="39" s="1"/>
  <c r="CK100" i="39" a="1"/>
  <c r="CK100" i="39" s="1"/>
  <c r="Z100" i="39" s="1"/>
  <c r="CK94" i="39" a="1"/>
  <c r="CK94" i="39" s="1"/>
  <c r="Z94" i="39" s="1"/>
  <c r="CK97" i="39" a="1"/>
  <c r="CK97" i="39" s="1"/>
  <c r="Z97" i="39" s="1"/>
  <c r="CK256" i="39" a="1"/>
  <c r="CK256" i="39" s="1"/>
  <c r="Z256" i="39" s="1"/>
  <c r="CK267" i="39" a="1"/>
  <c r="CK267" i="39" s="1"/>
  <c r="Z267" i="39" s="1"/>
  <c r="BW239" i="39"/>
  <c r="BW213" i="39"/>
  <c r="BW209" i="39"/>
  <c r="BW205" i="39"/>
  <c r="BW201" i="39"/>
  <c r="CK222" i="39" a="1"/>
  <c r="CK222" i="39" s="1"/>
  <c r="Z222" i="39" s="1"/>
  <c r="CK77" i="39" a="1"/>
  <c r="CK77" i="39" s="1"/>
  <c r="Z77" i="39" s="1"/>
  <c r="BW263" i="39"/>
  <c r="CK281" i="39" a="1"/>
  <c r="CK281" i="39" s="1"/>
  <c r="Z281" i="39" s="1"/>
  <c r="CK185" i="39" a="1"/>
  <c r="CK185" i="39" s="1"/>
  <c r="Z185" i="39" s="1"/>
  <c r="CK85" i="39" a="1"/>
  <c r="CK85" i="39" s="1"/>
  <c r="Z85" i="39" s="1"/>
  <c r="CK88" i="39" a="1"/>
  <c r="CK88" i="39" s="1"/>
  <c r="Z88" i="39" s="1"/>
  <c r="CK89" i="39" a="1"/>
  <c r="CK89" i="39" s="1"/>
  <c r="Z89" i="39" s="1"/>
  <c r="CK93" i="39" a="1"/>
  <c r="CK93" i="39" s="1"/>
  <c r="Z93" i="39" s="1"/>
  <c r="BW197" i="39"/>
  <c r="BW193" i="39"/>
  <c r="BW183" i="39"/>
  <c r="BW179" i="39"/>
  <c r="BW175" i="39"/>
  <c r="BW170" i="39"/>
  <c r="CK111" i="39" a="1"/>
  <c r="CK111" i="39" s="1"/>
  <c r="Z111" i="39" s="1"/>
  <c r="C18" i="4"/>
  <c r="D53" i="4" s="1"/>
  <c r="D29" i="4"/>
  <c r="D31" i="4"/>
  <c r="CK17" i="39" a="1"/>
  <c r="CK17" i="39" s="1"/>
  <c r="Z17" i="39" s="1"/>
  <c r="CK18" i="39" a="1"/>
  <c r="CK18" i="39" s="1"/>
  <c r="Z18" i="39" s="1"/>
  <c r="CK19" i="39" a="1"/>
  <c r="CK19" i="39" s="1"/>
  <c r="Z19" i="39" s="1"/>
  <c r="CK37" i="39" a="1"/>
  <c r="CK37" i="39" s="1"/>
  <c r="Z37" i="39" s="1"/>
  <c r="CK46" i="39" a="1"/>
  <c r="CK46" i="39" s="1"/>
  <c r="Z46" i="39" s="1"/>
  <c r="CK48" i="39" a="1"/>
  <c r="CK48" i="39" s="1"/>
  <c r="Z48" i="39" s="1"/>
  <c r="CK65" i="39" a="1"/>
  <c r="CK65" i="39" s="1"/>
  <c r="Z65" i="39" s="1"/>
  <c r="CK83" i="39" a="1"/>
  <c r="CK83" i="39" s="1"/>
  <c r="Z83" i="39" s="1"/>
  <c r="CK129" i="39" a="1"/>
  <c r="CK129" i="39" s="1"/>
  <c r="Z129" i="39" s="1"/>
  <c r="CK131" i="39" a="1"/>
  <c r="CK131" i="39" s="1"/>
  <c r="Z131" i="39" s="1"/>
  <c r="CK140" i="39" a="1"/>
  <c r="CK140" i="39" s="1"/>
  <c r="Z140" i="39" s="1"/>
  <c r="CK143" i="39" a="1"/>
  <c r="CK143" i="39" s="1"/>
  <c r="Z143" i="39" s="1"/>
  <c r="CK148" i="39" a="1"/>
  <c r="CK148" i="39" s="1"/>
  <c r="Z148" i="39" s="1"/>
  <c r="CK150" i="39" a="1"/>
  <c r="CK150" i="39" s="1"/>
  <c r="Z150" i="39" s="1"/>
  <c r="CK162" i="39" a="1"/>
  <c r="CK162" i="39" s="1"/>
  <c r="Z162" i="39" s="1"/>
  <c r="CK173" i="39" a="1"/>
  <c r="CK173" i="39" s="1"/>
  <c r="Z173" i="39" s="1"/>
  <c r="CK174" i="39" a="1"/>
  <c r="CK174" i="39" s="1"/>
  <c r="Z174" i="39" s="1"/>
  <c r="CK183" i="39" a="1"/>
  <c r="CK183" i="39" s="1"/>
  <c r="Z183" i="39" s="1"/>
  <c r="CK196" i="39" a="1"/>
  <c r="CK196" i="39" s="1"/>
  <c r="Z196" i="39" s="1"/>
  <c r="CK199" i="39" a="1"/>
  <c r="CK199" i="39" s="1"/>
  <c r="Z199" i="39" s="1"/>
  <c r="CK211" i="39" a="1"/>
  <c r="CK211" i="39" s="1"/>
  <c r="Z211" i="39" s="1"/>
  <c r="CK230" i="39" a="1"/>
  <c r="CK230" i="39" s="1"/>
  <c r="Z230" i="39" s="1"/>
  <c r="CK239" i="39" a="1"/>
  <c r="CK239" i="39" s="1"/>
  <c r="Z239" i="39" s="1"/>
  <c r="CK247" i="39" a="1"/>
  <c r="CK247" i="39" s="1"/>
  <c r="Z247" i="39" s="1"/>
  <c r="CK251" i="39" a="1"/>
  <c r="CK251" i="39" s="1"/>
  <c r="Z251" i="39" s="1"/>
  <c r="CK268" i="39" a="1"/>
  <c r="CK268" i="39" s="1"/>
  <c r="Z268" i="39" s="1"/>
  <c r="CK292" i="39" a="1"/>
  <c r="CK292" i="39" s="1"/>
  <c r="Z292" i="39" s="1"/>
  <c r="CK293" i="39" a="1"/>
  <c r="CK293" i="39" s="1"/>
  <c r="Z293" i="39" s="1"/>
  <c r="CK308" i="39" a="1"/>
  <c r="CK308" i="39" s="1"/>
  <c r="Z308" i="39" s="1"/>
  <c r="CK311" i="39" a="1"/>
  <c r="CK311" i="39" s="1"/>
  <c r="Z311" i="39" s="1"/>
  <c r="CK335" i="39" a="1"/>
  <c r="CK335" i="39" s="1"/>
  <c r="Z335" i="39" s="1"/>
  <c r="CK336" i="39" a="1"/>
  <c r="CK336" i="39" s="1"/>
  <c r="Z336" i="39" s="1"/>
  <c r="CK110" i="39" a="1"/>
  <c r="CK110" i="39" s="1"/>
  <c r="Z110" i="39" s="1"/>
  <c r="BW340" i="39"/>
  <c r="BW298" i="39"/>
  <c r="BW302" i="39"/>
  <c r="BW329" i="39"/>
  <c r="BW166" i="39"/>
  <c r="BW162" i="39"/>
  <c r="BW158" i="39"/>
  <c r="BW148" i="39"/>
  <c r="BW210" i="39"/>
  <c r="BW140" i="39"/>
  <c r="BW136" i="39"/>
  <c r="BW128" i="39"/>
  <c r="BW97" i="39"/>
  <c r="BW93" i="39"/>
  <c r="BW83" i="39"/>
  <c r="CK105" i="39" a="1"/>
  <c r="CK105" i="39" s="1"/>
  <c r="Z105" i="39" s="1"/>
  <c r="CK339" i="39" a="1"/>
  <c r="CK339" i="39" s="1"/>
  <c r="Z339" i="39" s="1"/>
  <c r="CK215" i="39" a="1"/>
  <c r="CK215" i="39" s="1"/>
  <c r="Z215" i="39" s="1"/>
  <c r="CK217" i="39" a="1"/>
  <c r="CK217" i="39" s="1"/>
  <c r="Z217" i="39" s="1"/>
  <c r="D33" i="4"/>
  <c r="D41" i="4"/>
  <c r="D49" i="4"/>
  <c r="D25" i="4"/>
  <c r="D38" i="4"/>
  <c r="D36" i="4"/>
  <c r="D35" i="4"/>
  <c r="D42" i="4"/>
  <c r="D24" i="4"/>
  <c r="D52" i="4"/>
  <c r="D30" i="4"/>
  <c r="D39" i="4"/>
  <c r="D46" i="4"/>
  <c r="D28" i="4"/>
  <c r="D34" i="4"/>
  <c r="D27" i="4"/>
  <c r="D40" i="4"/>
  <c r="D47" i="4"/>
  <c r="D32" i="4"/>
  <c r="D23" i="4"/>
  <c r="D48" i="4"/>
  <c r="BW114" i="39"/>
  <c r="BW122" i="39"/>
  <c r="BW118" i="39"/>
  <c r="BW84" i="39"/>
  <c r="BW14" i="39"/>
  <c r="BW45" i="39"/>
  <c r="BW150" i="39"/>
  <c r="BW155" i="39"/>
  <c r="BW161" i="39"/>
  <c r="BW76" i="39"/>
  <c r="BW119" i="39"/>
  <c r="BW288" i="39"/>
  <c r="BW194" i="39"/>
  <c r="BW163" i="39"/>
  <c r="BW129" i="39"/>
  <c r="BW37" i="39"/>
  <c r="BW125" i="39"/>
  <c r="BW81" i="39"/>
  <c r="BW67" i="39"/>
  <c r="BW65" i="39"/>
  <c r="BW173" i="39"/>
  <c r="BW95" i="39"/>
  <c r="BW203" i="39"/>
  <c r="BW196" i="39"/>
  <c r="BW142" i="39"/>
  <c r="BW86" i="39"/>
  <c r="BW104" i="39"/>
  <c r="BW138" i="39"/>
  <c r="BW12" i="39"/>
  <c r="BW130" i="39"/>
  <c r="BW110" i="39"/>
  <c r="BW78" i="39"/>
  <c r="BW198" i="39"/>
  <c r="BW246" i="39"/>
  <c r="BW211" i="39"/>
  <c r="BW318" i="39"/>
  <c r="BW336" i="39"/>
  <c r="BW40" i="39"/>
  <c r="BW94" i="39"/>
  <c r="BW48" i="39"/>
  <c r="BW19" i="39"/>
  <c r="BW18" i="39"/>
  <c r="BW143" i="39"/>
  <c r="BW141" i="39"/>
  <c r="BW199" i="39"/>
  <c r="BW13" i="39"/>
  <c r="BW70" i="39"/>
  <c r="BW16" i="39"/>
  <c r="BW268" i="39"/>
  <c r="BW180" i="39"/>
  <c r="BW159" i="39"/>
  <c r="BW102" i="39"/>
  <c r="BW17" i="39"/>
  <c r="BW154" i="39"/>
  <c r="BW121" i="39"/>
  <c r="BW71" i="39"/>
  <c r="BW146" i="39"/>
  <c r="BW134" i="39"/>
  <c r="BW168" i="39"/>
  <c r="BW157" i="39"/>
  <c r="BW115" i="39"/>
  <c r="BW66" i="39"/>
  <c r="BW304" i="39"/>
  <c r="BW156" i="39"/>
  <c r="BW90" i="39"/>
  <c r="BW124" i="39"/>
  <c r="BW73" i="39"/>
  <c r="BW169" i="39"/>
  <c r="BW241" i="39"/>
  <c r="BW64" i="39"/>
  <c r="BW256" i="39"/>
  <c r="BW88" i="39"/>
  <c r="BW39" i="39"/>
  <c r="BW11" i="39"/>
  <c r="BW49" i="39"/>
  <c r="BW176" i="39"/>
  <c r="BW181" i="39"/>
  <c r="BW165" i="39"/>
  <c r="BW182" i="39"/>
  <c r="BW178" i="39"/>
  <c r="BW38" i="39"/>
  <c r="BW172" i="39"/>
  <c r="BW202" i="39"/>
  <c r="BW167" i="39"/>
  <c r="BW132" i="39"/>
  <c r="BW63" i="39"/>
  <c r="BW105" i="39"/>
  <c r="BW117" i="39"/>
  <c r="BW74" i="39"/>
  <c r="BW177" i="39"/>
  <c r="BW160" i="39"/>
  <c r="BW226" i="39"/>
  <c r="BW89" i="39"/>
  <c r="BW68" i="39"/>
  <c r="BW285" i="39"/>
  <c r="BW185" i="39"/>
  <c r="BW120" i="39"/>
  <c r="BW192" i="39"/>
  <c r="BW123" i="39"/>
  <c r="BW230" i="39"/>
  <c r="BW200" i="39"/>
  <c r="BW109" i="39"/>
  <c r="BW216" i="39"/>
  <c r="BW212" i="39"/>
  <c r="BW319" i="39"/>
  <c r="BW284" i="39"/>
  <c r="BW330" i="39"/>
  <c r="BW43" i="39"/>
  <c r="BW112" i="39"/>
  <c r="BW113" i="39"/>
  <c r="BW301" i="39"/>
  <c r="BW322" i="39"/>
  <c r="BW271" i="39"/>
  <c r="BW308" i="39"/>
  <c r="BW309" i="39"/>
  <c r="BW286" i="39"/>
  <c r="BW337" i="39"/>
  <c r="BW251" i="39"/>
  <c r="BW321" i="39"/>
  <c r="BW250" i="39"/>
  <c r="BW258" i="39"/>
  <c r="BW171" i="39"/>
  <c r="BW307" i="39"/>
  <c r="BW326" i="39"/>
  <c r="BW293" i="39"/>
  <c r="BW260" i="39"/>
  <c r="BW255" i="39"/>
  <c r="BW247" i="39"/>
  <c r="BW257" i="39"/>
  <c r="BW270" i="39"/>
  <c r="BW290" i="39"/>
  <c r="BW310" i="39"/>
  <c r="BW317" i="39"/>
  <c r="BW296" i="39"/>
  <c r="B136" i="39"/>
  <c r="CK219" i="39" a="1"/>
  <c r="CK219" i="39" s="1"/>
  <c r="Z219" i="39" s="1"/>
  <c r="CK40" i="39" a="1"/>
  <c r="CK40" i="39" s="1"/>
  <c r="Z40" i="39" s="1"/>
  <c r="CK42" i="39" a="1"/>
  <c r="CK42" i="39" s="1"/>
  <c r="Z42" i="39" s="1"/>
  <c r="CK318" i="39" a="1"/>
  <c r="CK318" i="39" s="1"/>
  <c r="Z318" i="39" s="1"/>
  <c r="CK109" i="39" a="1"/>
  <c r="CK109" i="39" s="1"/>
  <c r="Z109" i="39" s="1"/>
  <c r="CK107" i="39" a="1"/>
  <c r="CK107" i="39" s="1"/>
  <c r="Z107" i="39" s="1"/>
  <c r="CK223" i="39" a="1"/>
  <c r="CK223" i="39" s="1"/>
  <c r="Z223" i="39" s="1"/>
  <c r="CK218" i="39" a="1"/>
  <c r="CK218" i="39" s="1"/>
  <c r="Z218" i="39" s="1"/>
  <c r="CK262" i="39" a="1"/>
  <c r="CK262" i="39" s="1"/>
  <c r="Z262" i="39" s="1"/>
  <c r="D45" i="4"/>
  <c r="D43" i="4"/>
  <c r="D26" i="4"/>
  <c r="CK338" i="39" a="1"/>
  <c r="CK338" i="39" s="1"/>
  <c r="Z338" i="39" s="1"/>
  <c r="CK224" i="39" a="1"/>
  <c r="CK224" i="39" s="1"/>
  <c r="Z224" i="39" s="1"/>
  <c r="CK298" i="39" a="1"/>
  <c r="CK298" i="39" s="1"/>
  <c r="Z298" i="39" s="1"/>
  <c r="CK301" i="39" a="1"/>
  <c r="CK301" i="39" s="1"/>
  <c r="Z301" i="39" s="1"/>
  <c r="CK302" i="39" a="1"/>
  <c r="CK302" i="39" s="1"/>
  <c r="Z302" i="39" s="1"/>
  <c r="CK303" i="39" a="1"/>
  <c r="CK303" i="39" s="1"/>
  <c r="Z303" i="39" s="1"/>
  <c r="CK41" i="39" a="1"/>
  <c r="CK41" i="39" s="1"/>
  <c r="Z41" i="39" s="1"/>
  <c r="CK78" i="39" a="1"/>
  <c r="CK78" i="39" s="1"/>
  <c r="Z78" i="39" s="1"/>
  <c r="CK334" i="39" a="1"/>
  <c r="CK334" i="39" s="1"/>
  <c r="Z334" i="39" s="1"/>
  <c r="CK221" i="39" a="1"/>
  <c r="CK221" i="39" s="1"/>
  <c r="Z221" i="39" s="1"/>
  <c r="CK299" i="39" a="1"/>
  <c r="CK299" i="39" s="1"/>
  <c r="Z299" i="39" s="1"/>
  <c r="CK300" i="39" a="1"/>
  <c r="CK300" i="39" s="1"/>
  <c r="Z300" i="39" s="1"/>
  <c r="CK332" i="39" a="1"/>
  <c r="CK332" i="39" s="1"/>
  <c r="Z332" i="39" s="1"/>
  <c r="CK214" i="39" a="1"/>
  <c r="CK214" i="39" s="1"/>
  <c r="Z214" i="39" s="1"/>
  <c r="CK225" i="39" a="1"/>
  <c r="CK225" i="39" s="1"/>
  <c r="Z225" i="39" s="1"/>
  <c r="CK220" i="39" a="1"/>
  <c r="CK220" i="39" s="1"/>
  <c r="Z220" i="39" s="1"/>
  <c r="BB266" i="39"/>
  <c r="AZ266" i="39"/>
  <c r="BC265" i="39"/>
  <c r="BB264" i="39"/>
  <c r="AZ264" i="39"/>
  <c r="AQ133" i="39"/>
  <c r="AU133" i="39"/>
  <c r="B28" i="39"/>
  <c r="B20" i="39"/>
  <c r="BC315" i="39"/>
  <c r="BJ22" i="39"/>
  <c r="AU315" i="39"/>
  <c r="B24" i="39"/>
  <c r="AZ29" i="39"/>
  <c r="AZ32" i="39"/>
  <c r="AU53" i="39"/>
  <c r="BC54" i="39"/>
  <c r="BB234" i="39"/>
  <c r="BB235" i="39"/>
  <c r="BB315" i="39"/>
  <c r="BC27" i="39"/>
  <c r="AU26" i="39"/>
  <c r="AZ235" i="39"/>
  <c r="BJ28" i="39"/>
  <c r="AU28" i="39"/>
  <c r="BB91" i="39"/>
  <c r="BJ56" i="39"/>
  <c r="BC20" i="39"/>
  <c r="AR35" i="39"/>
  <c r="AQ316" i="39"/>
  <c r="AU54" i="39"/>
  <c r="BC24" i="39"/>
  <c r="BC60" i="39"/>
  <c r="AQ75" i="39"/>
  <c r="BC275" i="39"/>
  <c r="AZ234" i="39"/>
  <c r="AU62" i="39"/>
  <c r="AZ315" i="39"/>
  <c r="AU55" i="39"/>
  <c r="AU56" i="39"/>
  <c r="AR91" i="39"/>
  <c r="AU282" i="39"/>
  <c r="BB60" i="39"/>
  <c r="AQ27" i="39"/>
  <c r="BB52" i="39"/>
  <c r="AR55" i="39"/>
  <c r="BB55" i="39"/>
  <c r="AZ274" i="39"/>
  <c r="AQ58" i="39"/>
  <c r="BJ58" i="39"/>
  <c r="AZ25" i="39"/>
  <c r="BC34" i="39"/>
  <c r="BJ75" i="39"/>
  <c r="BB62" i="39"/>
  <c r="AR56" i="39"/>
  <c r="BB29" i="39"/>
  <c r="AQ314" i="39"/>
  <c r="AR314" i="39"/>
  <c r="AQ277" i="39"/>
  <c r="BB20" i="39"/>
  <c r="BJ34" i="39"/>
  <c r="BC62" i="39"/>
  <c r="BB61" i="39"/>
  <c r="BC22" i="39"/>
  <c r="BJ20" i="39"/>
  <c r="BB21" i="39"/>
  <c r="AU57" i="39"/>
  <c r="AU20" i="39"/>
  <c r="B189" i="39"/>
  <c r="AQ57" i="39"/>
  <c r="AR316" i="39"/>
  <c r="AU27" i="39"/>
  <c r="BC277" i="39"/>
  <c r="AU25" i="39"/>
  <c r="AR33" i="39"/>
  <c r="AR31" i="39"/>
  <c r="AQ32" i="39"/>
  <c r="BJ29" i="39"/>
  <c r="AZ23" i="39"/>
  <c r="BC52" i="39"/>
  <c r="BB57" i="39"/>
  <c r="AZ59" i="39"/>
  <c r="BC30" i="39"/>
  <c r="AZ57" i="39"/>
  <c r="AQ21" i="39"/>
  <c r="BB31" i="39"/>
  <c r="AQ234" i="39"/>
  <c r="AZ55" i="39"/>
  <c r="BB33" i="39"/>
  <c r="AU92" i="39"/>
  <c r="AQ266" i="39"/>
  <c r="AU266" i="39"/>
  <c r="AR265" i="39"/>
  <c r="AQ264" i="39"/>
  <c r="AU264" i="39"/>
  <c r="BC133" i="39"/>
  <c r="AR23" i="39"/>
  <c r="AZ33" i="39"/>
  <c r="BC233" i="39"/>
  <c r="AU277" i="39"/>
  <c r="AQ25" i="39"/>
  <c r="AR62" i="39"/>
  <c r="BJ72" i="39"/>
  <c r="AZ53" i="39"/>
  <c r="BB316" i="39"/>
  <c r="AZ60" i="39"/>
  <c r="AU287" i="39"/>
  <c r="AZ92" i="39"/>
  <c r="B30" i="39"/>
  <c r="BB22" i="39"/>
  <c r="AU34" i="39"/>
  <c r="BC314" i="39"/>
  <c r="AZ27" i="39"/>
  <c r="BJ54" i="39"/>
  <c r="BB314" i="39"/>
  <c r="BJ32" i="39"/>
  <c r="AR28" i="39"/>
  <c r="BJ53" i="39"/>
  <c r="AZ28" i="39"/>
  <c r="AZ54" i="39"/>
  <c r="B314" i="39"/>
  <c r="BB56" i="39"/>
  <c r="AR273" i="39"/>
  <c r="AR92" i="39"/>
  <c r="AU275" i="39"/>
  <c r="AQ275" i="39"/>
  <c r="AZ62" i="39"/>
  <c r="AZ56" i="39"/>
  <c r="AR72" i="39"/>
  <c r="BB282" i="39"/>
  <c r="BB59" i="39"/>
  <c r="BB92" i="39"/>
  <c r="BB30" i="39"/>
  <c r="AZ52" i="39"/>
  <c r="BB58" i="39"/>
  <c r="BJ62" i="39"/>
  <c r="AZ58" i="39"/>
  <c r="BC274" i="39"/>
  <c r="AQ30" i="39"/>
  <c r="BC58" i="39"/>
  <c r="AZ31" i="39"/>
  <c r="AQ92" i="39"/>
  <c r="AU21" i="39"/>
  <c r="AR276" i="39"/>
  <c r="AZ314" i="39"/>
  <c r="AZ75" i="39"/>
  <c r="BC72" i="39"/>
  <c r="BC287" i="39"/>
  <c r="AR52" i="39"/>
  <c r="AR277" i="39"/>
  <c r="AQ34" i="39"/>
  <c r="AU33" i="39"/>
  <c r="BC316" i="39"/>
  <c r="AQ26" i="39"/>
  <c r="AR282" i="39"/>
  <c r="BC21" i="39"/>
  <c r="AU22" i="39"/>
  <c r="BJ30" i="39"/>
  <c r="AU274" i="39"/>
  <c r="AQ278" i="39"/>
  <c r="BB277" i="39"/>
  <c r="AU233" i="39"/>
  <c r="BC92" i="39"/>
  <c r="BC59" i="39"/>
  <c r="AU273" i="39"/>
  <c r="AZ277" i="39"/>
  <c r="BJ23" i="39"/>
  <c r="AQ29" i="39"/>
  <c r="AQ31" i="39"/>
  <c r="AQ276" i="39"/>
  <c r="AQ52" i="39"/>
  <c r="AU61" i="39"/>
  <c r="AR235" i="39"/>
  <c r="AR27" i="39"/>
  <c r="BC266" i="39"/>
  <c r="BB265" i="39"/>
  <c r="AZ265" i="39"/>
  <c r="BC264" i="39"/>
  <c r="B133" i="39"/>
  <c r="AR133" i="39"/>
  <c r="AU72" i="39"/>
  <c r="AU91" i="39"/>
  <c r="BB276" i="39"/>
  <c r="AQ61" i="39"/>
  <c r="BC273" i="39"/>
  <c r="AZ35" i="39"/>
  <c r="AR54" i="39"/>
  <c r="AZ273" i="39"/>
  <c r="AZ22" i="39"/>
  <c r="BC25" i="39"/>
  <c r="AQ72" i="39"/>
  <c r="BB25" i="39"/>
  <c r="BJ55" i="39"/>
  <c r="BJ35" i="39"/>
  <c r="BJ27" i="39"/>
  <c r="BC35" i="39"/>
  <c r="BB233" i="39"/>
  <c r="AU58" i="39"/>
  <c r="AQ315" i="39"/>
  <c r="AZ91" i="39"/>
  <c r="AZ278" i="39"/>
  <c r="BB34" i="39"/>
  <c r="AU23" i="39"/>
  <c r="BB273" i="39"/>
  <c r="AQ282" i="39"/>
  <c r="AQ28" i="39"/>
  <c r="BC56" i="39"/>
  <c r="AR60" i="39"/>
  <c r="BC61" i="39"/>
  <c r="BB24" i="39"/>
  <c r="AQ24" i="39"/>
  <c r="AQ287" i="39"/>
  <c r="AQ23" i="39"/>
  <c r="BC235" i="39"/>
  <c r="B34" i="39"/>
  <c r="AU314" i="39"/>
  <c r="AR189" i="39"/>
  <c r="AR59" i="39"/>
  <c r="AR234" i="39"/>
  <c r="AQ59" i="39"/>
  <c r="BC91" i="39"/>
  <c r="BC278" i="39"/>
  <c r="AR61" i="39"/>
  <c r="BB275" i="39"/>
  <c r="AR315" i="39"/>
  <c r="AQ33" i="39"/>
  <c r="AZ189" i="39"/>
  <c r="AU234" i="39"/>
  <c r="BB27" i="39"/>
  <c r="AR24" i="39"/>
  <c r="BB23" i="39"/>
  <c r="AQ273" i="39"/>
  <c r="BJ59" i="39"/>
  <c r="BC276" i="39"/>
  <c r="BB35" i="39"/>
  <c r="BC282" i="39"/>
  <c r="B26" i="39"/>
  <c r="AR233" i="39"/>
  <c r="AQ54" i="39"/>
  <c r="AR53" i="39"/>
  <c r="AZ287" i="39"/>
  <c r="AQ35" i="39"/>
  <c r="AR274" i="39"/>
  <c r="AR278" i="39"/>
  <c r="BC28" i="39"/>
  <c r="BB32" i="39"/>
  <c r="B316" i="39"/>
  <c r="BC189" i="39"/>
  <c r="AU60" i="39"/>
  <c r="BC32" i="39"/>
  <c r="BC31" i="39"/>
  <c r="BB54" i="39"/>
  <c r="AR29" i="39"/>
  <c r="AU75" i="39"/>
  <c r="AQ53" i="39"/>
  <c r="BB278" i="39"/>
  <c r="AR266" i="39"/>
  <c r="AQ265" i="39"/>
  <c r="AU265" i="39"/>
  <c r="AR264" i="39"/>
  <c r="BB133" i="39"/>
  <c r="AZ133" i="39"/>
  <c r="AU278" i="39"/>
  <c r="BB72" i="39"/>
  <c r="AR30" i="39"/>
  <c r="AZ72" i="39"/>
  <c r="AQ20" i="39"/>
  <c r="AQ233" i="39"/>
  <c r="AR275" i="39"/>
  <c r="BC234" i="39"/>
  <c r="BB75" i="39"/>
  <c r="AR20" i="39"/>
  <c r="AU31" i="39"/>
  <c r="AZ34" i="39"/>
  <c r="AQ189" i="39"/>
  <c r="BB28" i="39"/>
  <c r="BJ52" i="39"/>
  <c r="BC33" i="39"/>
  <c r="AR25" i="39"/>
  <c r="AZ26" i="39"/>
  <c r="BJ21" i="39"/>
  <c r="AR75" i="39"/>
  <c r="BC26" i="39"/>
  <c r="AZ61" i="39"/>
  <c r="BC75" i="39"/>
  <c r="AU30" i="39"/>
  <c r="AZ316" i="39"/>
  <c r="AU316" i="39"/>
  <c r="AQ56" i="39"/>
  <c r="BB53" i="39"/>
  <c r="BC57" i="39"/>
  <c r="AU32" i="39"/>
  <c r="AU189" i="39"/>
  <c r="BJ61" i="39"/>
  <c r="AU276" i="39"/>
  <c r="AQ91" i="39"/>
  <c r="AU52" i="39"/>
  <c r="BJ60" i="39"/>
  <c r="AZ233" i="39"/>
  <c r="BJ26" i="39"/>
  <c r="AZ21" i="39"/>
  <c r="AR287" i="39"/>
  <c r="AR22" i="39"/>
  <c r="AR34" i="39"/>
  <c r="AQ22" i="39"/>
  <c r="BJ24" i="39"/>
  <c r="B32" i="39"/>
  <c r="AZ275" i="39"/>
  <c r="AZ276" i="39"/>
  <c r="BC53" i="39"/>
  <c r="BC55" i="39"/>
  <c r="AQ274" i="39"/>
  <c r="BB26" i="39"/>
  <c r="B22" i="39"/>
  <c r="AR21" i="39"/>
  <c r="AU35" i="39"/>
  <c r="AZ24" i="39"/>
  <c r="AU235" i="39"/>
  <c r="AU24" i="39"/>
  <c r="AZ282" i="39"/>
  <c r="AZ30" i="39"/>
  <c r="AR26" i="39"/>
  <c r="AQ60" i="39"/>
  <c r="BJ57" i="39"/>
  <c r="AR57" i="39"/>
  <c r="AR58" i="39"/>
  <c r="BJ33" i="39"/>
  <c r="AU29" i="39"/>
  <c r="BB287" i="39"/>
  <c r="AQ55" i="39"/>
  <c r="BJ31" i="39"/>
  <c r="AQ62" i="39"/>
  <c r="BB274" i="39"/>
  <c r="BJ25" i="39"/>
  <c r="BC23" i="39"/>
  <c r="AQ235" i="39"/>
  <c r="AR32" i="39"/>
  <c r="BC29" i="39"/>
  <c r="AZ20" i="39"/>
  <c r="BB189" i="39"/>
  <c r="AU59" i="39"/>
  <c r="D266" i="39" l="1"/>
  <c r="G266" i="39"/>
  <c r="BG266" i="39" a="1"/>
  <c r="BG266" i="39" s="1"/>
  <c r="BF266" i="39" a="1"/>
  <c r="BF266" i="39" s="1"/>
  <c r="BD266" i="39"/>
  <c r="C266" i="39" s="1"/>
  <c r="BI266" i="39"/>
  <c r="W266" i="39" s="1"/>
  <c r="D265" i="39"/>
  <c r="G265" i="39"/>
  <c r="BG265" i="39" a="1"/>
  <c r="BG265" i="39" s="1"/>
  <c r="BF265" i="39" a="1"/>
  <c r="BF265" i="39" s="1"/>
  <c r="BD265" i="39"/>
  <c r="C265" i="39" s="1"/>
  <c r="BI265" i="39"/>
  <c r="W265" i="39" s="1"/>
  <c r="D264" i="39"/>
  <c r="G264" i="39"/>
  <c r="BG264" i="39" a="1"/>
  <c r="BG264" i="39" s="1"/>
  <c r="BF264" i="39" a="1"/>
  <c r="BF264" i="39" s="1"/>
  <c r="BD264" i="39"/>
  <c r="C264" i="39" s="1"/>
  <c r="BI264" i="39"/>
  <c r="W264" i="39" s="1"/>
  <c r="D133" i="39"/>
  <c r="G133" i="39"/>
  <c r="BG133" i="39" a="1"/>
  <c r="BG133" i="39" s="1"/>
  <c r="BF133" i="39" a="1"/>
  <c r="BF133" i="39" s="1"/>
  <c r="BD133" i="39"/>
  <c r="C133" i="39" s="1"/>
  <c r="BI133" i="39"/>
  <c r="W133" i="39" s="1"/>
  <c r="C33" i="55"/>
  <c r="AB11" i="89" a="1"/>
  <c r="AB11" i="89" s="1"/>
  <c r="J23" i="6" s="1"/>
  <c r="R11" i="89" a="1"/>
  <c r="R11" i="89" s="1"/>
  <c r="F10" i="89"/>
  <c r="F11" i="89" s="1" a="1"/>
  <c r="F11" i="89" s="1"/>
  <c r="J21" i="6" s="1"/>
  <c r="G21" i="6" s="1"/>
  <c r="BD55" i="39"/>
  <c r="C55" i="39" s="1"/>
  <c r="G55" i="39"/>
  <c r="BI55" i="39"/>
  <c r="W55" i="39" s="1"/>
  <c r="D55" i="39"/>
  <c r="BD60" i="39"/>
  <c r="C60" i="39" s="1"/>
  <c r="BI60" i="39"/>
  <c r="W60" i="39" s="1"/>
  <c r="D60" i="39"/>
  <c r="G60" i="39"/>
  <c r="BD58" i="39"/>
  <c r="C58" i="39" s="1"/>
  <c r="G58" i="39"/>
  <c r="BI58" i="39"/>
  <c r="W58" i="39" s="1"/>
  <c r="D58" i="39"/>
  <c r="G53" i="39"/>
  <c r="BD53" i="39"/>
  <c r="C53" i="39" s="1"/>
  <c r="BI53" i="39"/>
  <c r="W53" i="39" s="1"/>
  <c r="D53" i="39"/>
  <c r="BI62" i="39"/>
  <c r="W62" i="39" s="1"/>
  <c r="G62" i="39"/>
  <c r="BD62" i="39"/>
  <c r="C62" i="39" s="1"/>
  <c r="D62" i="39"/>
  <c r="BD57" i="39"/>
  <c r="C57" i="39" s="1"/>
  <c r="BI57" i="39"/>
  <c r="W57" i="39" s="1"/>
  <c r="D57" i="39"/>
  <c r="G57" i="39"/>
  <c r="G52" i="39"/>
  <c r="BD52" i="39"/>
  <c r="C52" i="39" s="1"/>
  <c r="BI52" i="39"/>
  <c r="D52" i="39"/>
  <c r="BD59" i="39"/>
  <c r="C59" i="39" s="1"/>
  <c r="G59" i="39"/>
  <c r="BI59" i="39"/>
  <c r="W59" i="39" s="1"/>
  <c r="D59" i="39"/>
  <c r="BD56" i="39"/>
  <c r="C56" i="39" s="1"/>
  <c r="BI56" i="39"/>
  <c r="W56" i="39" s="1"/>
  <c r="D56" i="39"/>
  <c r="G56" i="39"/>
  <c r="BD61" i="39"/>
  <c r="C61" i="39" s="1"/>
  <c r="BI61" i="39"/>
  <c r="W61" i="39" s="1"/>
  <c r="D61" i="39"/>
  <c r="G61" i="39"/>
  <c r="BD54" i="39"/>
  <c r="C54" i="39" s="1"/>
  <c r="G54" i="39"/>
  <c r="BI54" i="39"/>
  <c r="W54" i="39" s="1"/>
  <c r="D54" i="39"/>
  <c r="R77" i="89"/>
  <c r="R80" i="89"/>
  <c r="E26" i="4"/>
  <c r="E25" i="89"/>
  <c r="E51" i="89"/>
  <c r="G11" i="89" a="1"/>
  <c r="G11" i="89" s="1"/>
  <c r="J22" i="6" s="1"/>
  <c r="R39" i="89"/>
  <c r="E27" i="4"/>
  <c r="E39" i="4"/>
  <c r="R88" i="89"/>
  <c r="E35" i="4"/>
  <c r="Q81" i="89"/>
  <c r="E81" i="89"/>
  <c r="E75" i="89"/>
  <c r="E84" i="89"/>
  <c r="S18" i="89"/>
  <c r="S40" i="89"/>
  <c r="Q86" i="89"/>
  <c r="Q90" i="89"/>
  <c r="E79" i="89"/>
  <c r="E29" i="4"/>
  <c r="R86" i="89"/>
  <c r="I25" i="89"/>
  <c r="I45" i="89"/>
  <c r="E80" i="89"/>
  <c r="E76" i="89"/>
  <c r="S20" i="89"/>
  <c r="S36" i="89"/>
  <c r="S34" i="89"/>
  <c r="Q82" i="89"/>
  <c r="Q79" i="89"/>
  <c r="S19" i="89"/>
  <c r="Q87" i="89"/>
  <c r="S28" i="89"/>
  <c r="S43" i="89"/>
  <c r="R78" i="89"/>
  <c r="R87" i="89"/>
  <c r="I27" i="89"/>
  <c r="I20" i="89"/>
  <c r="I29" i="89"/>
  <c r="S42" i="89"/>
  <c r="E77" i="89"/>
  <c r="S44" i="89"/>
  <c r="S41" i="89"/>
  <c r="S27" i="89"/>
  <c r="Q80" i="89"/>
  <c r="S35" i="89"/>
  <c r="S23" i="89"/>
  <c r="C14" i="55"/>
  <c r="F14" i="55"/>
  <c r="G189" i="39"/>
  <c r="BG189" i="39" a="1"/>
  <c r="BG189" i="39" s="1"/>
  <c r="BF189" i="39" a="1"/>
  <c r="BF189" i="39" s="1"/>
  <c r="BD189" i="39"/>
  <c r="C189" i="39" s="1"/>
  <c r="D189" i="39"/>
  <c r="BI189" i="39"/>
  <c r="W189" i="39" s="1"/>
  <c r="K45" i="89"/>
  <c r="E50" i="89"/>
  <c r="E38" i="89"/>
  <c r="E23" i="89"/>
  <c r="E26" i="89"/>
  <c r="E40" i="89"/>
  <c r="BD316" i="39"/>
  <c r="C316" i="39" s="1"/>
  <c r="BI316" i="39"/>
  <c r="W316" i="39" s="1"/>
  <c r="D316" i="39"/>
  <c r="G316" i="39"/>
  <c r="BG316" i="39" a="1"/>
  <c r="BG316" i="39" s="1"/>
  <c r="I316" i="39" s="1"/>
  <c r="BF316" i="39" a="1"/>
  <c r="BF316" i="39" s="1"/>
  <c r="G72" i="39"/>
  <c r="BD72" i="39"/>
  <c r="C72" i="39" s="1"/>
  <c r="D72" i="39"/>
  <c r="BI72" i="39"/>
  <c r="W72" i="39" s="1"/>
  <c r="D287" i="39"/>
  <c r="G287" i="39"/>
  <c r="BF287" i="39" a="1"/>
  <c r="BF287" i="39" s="1"/>
  <c r="BG287" i="39" a="1"/>
  <c r="BG287" i="39" s="1"/>
  <c r="BD287" i="39"/>
  <c r="C287" i="39" s="1"/>
  <c r="BI287" i="39"/>
  <c r="W287" i="39" s="1"/>
  <c r="BD315" i="39"/>
  <c r="C315" i="39" s="1"/>
  <c r="D315" i="39"/>
  <c r="G315" i="39"/>
  <c r="BF315" i="39" a="1"/>
  <c r="BF315" i="39" s="1"/>
  <c r="BG315" i="39" a="1"/>
  <c r="BG315" i="39" s="1"/>
  <c r="BI315" i="39"/>
  <c r="W315" i="39" s="1"/>
  <c r="BI314" i="39"/>
  <c r="W314" i="39" s="1"/>
  <c r="D314" i="39"/>
  <c r="BD314" i="39"/>
  <c r="C314" i="39" s="1"/>
  <c r="BF314" i="39" a="1"/>
  <c r="BF314" i="39" s="1"/>
  <c r="G314" i="39"/>
  <c r="BG314" i="39" a="1"/>
  <c r="BG314" i="39" s="1"/>
  <c r="I314" i="39" s="1"/>
  <c r="C28" i="55"/>
  <c r="U43" i="6"/>
  <c r="U13" i="89" s="1"/>
  <c r="D35" i="39"/>
  <c r="G35" i="39"/>
  <c r="BD35" i="39"/>
  <c r="C35" i="39" s="1"/>
  <c r="BI35" i="39"/>
  <c r="W35" i="39" s="1"/>
  <c r="BI34" i="39"/>
  <c r="W34" i="39" s="1"/>
  <c r="BD34" i="39"/>
  <c r="C34" i="39" s="1"/>
  <c r="G34" i="39"/>
  <c r="D34" i="39"/>
  <c r="BN34" i="39"/>
  <c r="BT34" i="39"/>
  <c r="BO34" i="39"/>
  <c r="BU34" i="39"/>
  <c r="BP34" i="39"/>
  <c r="BK34" i="39"/>
  <c r="BV34" i="39"/>
  <c r="BQ34" i="39"/>
  <c r="BL34" i="39"/>
  <c r="BR34" i="39"/>
  <c r="BM34" i="39"/>
  <c r="BS34" i="39"/>
  <c r="BV33" i="39"/>
  <c r="BR33" i="39"/>
  <c r="BN33" i="39"/>
  <c r="BU33" i="39"/>
  <c r="BQ33" i="39"/>
  <c r="BM33" i="39"/>
  <c r="BT33" i="39"/>
  <c r="BP33" i="39"/>
  <c r="BL33" i="39"/>
  <c r="BS33" i="39"/>
  <c r="BO33" i="39"/>
  <c r="BK33" i="39"/>
  <c r="D33" i="39"/>
  <c r="G33" i="39"/>
  <c r="BD33" i="39"/>
  <c r="C33" i="39" s="1"/>
  <c r="BI33" i="39"/>
  <c r="W33" i="39" s="1"/>
  <c r="BI32" i="39"/>
  <c r="W32" i="39" s="1"/>
  <c r="BD32" i="39"/>
  <c r="C32" i="39" s="1"/>
  <c r="G32" i="39"/>
  <c r="D32" i="39"/>
  <c r="BN32" i="39"/>
  <c r="BT32" i="39"/>
  <c r="BO32" i="39"/>
  <c r="BU32" i="39"/>
  <c r="BP32" i="39"/>
  <c r="BK32" i="39"/>
  <c r="BV32" i="39"/>
  <c r="BQ32" i="39"/>
  <c r="BL32" i="39"/>
  <c r="BR32" i="39"/>
  <c r="BM32" i="39"/>
  <c r="BS32" i="39"/>
  <c r="C31" i="55"/>
  <c r="BV31" i="39"/>
  <c r="BR31" i="39"/>
  <c r="BN31" i="39"/>
  <c r="BU31" i="39"/>
  <c r="BQ31" i="39"/>
  <c r="BM31" i="39"/>
  <c r="BT31" i="39"/>
  <c r="BP31" i="39"/>
  <c r="BL31" i="39"/>
  <c r="BS31" i="39"/>
  <c r="BO31" i="39"/>
  <c r="BK31" i="39"/>
  <c r="D31" i="39"/>
  <c r="G31" i="39"/>
  <c r="BD31" i="39"/>
  <c r="C31" i="39" s="1"/>
  <c r="BI31" i="39"/>
  <c r="W31" i="39" s="1"/>
  <c r="BI30" i="39"/>
  <c r="W30" i="39" s="1"/>
  <c r="BD30" i="39"/>
  <c r="C30" i="39" s="1"/>
  <c r="G30" i="39"/>
  <c r="D30" i="39"/>
  <c r="D29" i="39"/>
  <c r="G29" i="39"/>
  <c r="BD29" i="39"/>
  <c r="C29" i="39" s="1"/>
  <c r="BI29" i="39"/>
  <c r="W29" i="39" s="1"/>
  <c r="BI28" i="39"/>
  <c r="W28" i="39" s="1"/>
  <c r="BD28" i="39"/>
  <c r="C28" i="39" s="1"/>
  <c r="G28" i="39"/>
  <c r="D28" i="39"/>
  <c r="D27" i="39"/>
  <c r="G27" i="39"/>
  <c r="BD27" i="39"/>
  <c r="C27" i="39" s="1"/>
  <c r="BI27" i="39"/>
  <c r="W27" i="39" s="1"/>
  <c r="BI26" i="39"/>
  <c r="W26" i="39" s="1"/>
  <c r="BD26" i="39"/>
  <c r="C26" i="39" s="1"/>
  <c r="G26" i="39"/>
  <c r="D26" i="39"/>
  <c r="D25" i="39"/>
  <c r="G25" i="39"/>
  <c r="BD25" i="39"/>
  <c r="C25" i="39" s="1"/>
  <c r="BI25" i="39"/>
  <c r="W25" i="39" s="1"/>
  <c r="BI24" i="39"/>
  <c r="W24" i="39" s="1"/>
  <c r="BD24" i="39"/>
  <c r="C24" i="39" s="1"/>
  <c r="G24" i="39"/>
  <c r="D24" i="39"/>
  <c r="D23" i="39"/>
  <c r="G23" i="39"/>
  <c r="BD23" i="39"/>
  <c r="C23" i="39" s="1"/>
  <c r="BI23" i="39"/>
  <c r="W23" i="39" s="1"/>
  <c r="BI22" i="39"/>
  <c r="W22" i="39" s="1"/>
  <c r="BD22" i="39"/>
  <c r="C22" i="39" s="1"/>
  <c r="G22" i="39"/>
  <c r="D22" i="39"/>
  <c r="D21" i="39"/>
  <c r="G21" i="39"/>
  <c r="BD21" i="39"/>
  <c r="C21" i="39" s="1"/>
  <c r="BI21" i="39"/>
  <c r="W21" i="39" s="1"/>
  <c r="BI20" i="39"/>
  <c r="W20" i="39" s="1"/>
  <c r="D20" i="39"/>
  <c r="BD20" i="39"/>
  <c r="C20" i="39" s="1"/>
  <c r="G20" i="39"/>
  <c r="D235" i="39"/>
  <c r="G235" i="39"/>
  <c r="BG235" i="39" a="1"/>
  <c r="BG235" i="39" s="1"/>
  <c r="BF235" i="39" a="1"/>
  <c r="BF235" i="39" s="1"/>
  <c r="BD235" i="39"/>
  <c r="C235" i="39" s="1"/>
  <c r="BI235" i="39"/>
  <c r="W235" i="39" s="1"/>
  <c r="D234" i="39"/>
  <c r="G234" i="39"/>
  <c r="BF234" i="39" a="1"/>
  <c r="BF234" i="39" s="1"/>
  <c r="BG234" i="39" a="1"/>
  <c r="BG234" i="39" s="1"/>
  <c r="BD234" i="39"/>
  <c r="C234" i="39" s="1"/>
  <c r="BI234" i="39"/>
  <c r="W234" i="39" s="1"/>
  <c r="C34" i="55"/>
  <c r="D233" i="39"/>
  <c r="G233" i="39"/>
  <c r="BF233" i="39" a="1"/>
  <c r="BF233" i="39" s="1"/>
  <c r="BG233" i="39" a="1"/>
  <c r="BG233" i="39" s="1"/>
  <c r="BD233" i="39"/>
  <c r="C233" i="39" s="1"/>
  <c r="BI233" i="39"/>
  <c r="W233" i="39" s="1"/>
  <c r="D282" i="39"/>
  <c r="G282" i="39"/>
  <c r="BF282" i="39" a="1"/>
  <c r="BF282" i="39" s="1"/>
  <c r="BG282" i="39" a="1"/>
  <c r="BG282" i="39" s="1"/>
  <c r="BD282" i="39"/>
  <c r="C282" i="39" s="1"/>
  <c r="BI282" i="39"/>
  <c r="W282" i="39" s="1"/>
  <c r="D92" i="39"/>
  <c r="G92" i="39"/>
  <c r="BG92" i="39" a="1"/>
  <c r="BG92" i="39" s="1"/>
  <c r="BF92" i="39" a="1"/>
  <c r="BF92" i="39" s="1"/>
  <c r="BD92" i="39"/>
  <c r="C92" i="39" s="1"/>
  <c r="BI92" i="39"/>
  <c r="W92" i="39" s="1"/>
  <c r="D91" i="39"/>
  <c r="G91" i="39"/>
  <c r="BF91" i="39" a="1"/>
  <c r="BF91" i="39" s="1"/>
  <c r="BG91" i="39" a="1"/>
  <c r="BG91" i="39" s="1"/>
  <c r="BD91" i="39"/>
  <c r="C91" i="39" s="1"/>
  <c r="BI91" i="39"/>
  <c r="W91" i="39" s="1"/>
  <c r="D75" i="39"/>
  <c r="G75" i="39"/>
  <c r="BD75" i="39"/>
  <c r="C75" i="39" s="1"/>
  <c r="BI75" i="39"/>
  <c r="W75" i="39" s="1"/>
  <c r="G277" i="39"/>
  <c r="BG277" i="39" a="1"/>
  <c r="BG277" i="39" s="1"/>
  <c r="BF277" i="39" a="1"/>
  <c r="BF277" i="39" s="1"/>
  <c r="BD277" i="39"/>
  <c r="C277" i="39" s="1"/>
  <c r="D277" i="39"/>
  <c r="BI277" i="39"/>
  <c r="W277" i="39" s="1"/>
  <c r="C32" i="55"/>
  <c r="C35" i="55"/>
  <c r="BD275" i="39"/>
  <c r="C275" i="39" s="1"/>
  <c r="D275" i="39"/>
  <c r="G275" i="39"/>
  <c r="BF275" i="39" a="1"/>
  <c r="BF275" i="39" s="1"/>
  <c r="BG275" i="39" a="1"/>
  <c r="BG275" i="39" s="1"/>
  <c r="BI275" i="39"/>
  <c r="W275" i="39" s="1"/>
  <c r="D278" i="39"/>
  <c r="G278" i="39"/>
  <c r="BG278" i="39" a="1"/>
  <c r="BG278" i="39" s="1"/>
  <c r="BF278" i="39" a="1"/>
  <c r="BF278" i="39" s="1"/>
  <c r="BD278" i="39"/>
  <c r="C278" i="39" s="1"/>
  <c r="BI278" i="39"/>
  <c r="W278" i="39" s="1"/>
  <c r="BD273" i="39"/>
  <c r="C273" i="39" s="1"/>
  <c r="D273" i="39"/>
  <c r="G273" i="39"/>
  <c r="BG273" i="39" a="1"/>
  <c r="BG273" i="39" s="1"/>
  <c r="BF273" i="39" a="1"/>
  <c r="BF273" i="39" s="1"/>
  <c r="BI273" i="39"/>
  <c r="BD276" i="39"/>
  <c r="C276" i="39" s="1"/>
  <c r="BI276" i="39"/>
  <c r="W276" i="39" s="1"/>
  <c r="D276" i="39"/>
  <c r="G276" i="39"/>
  <c r="BF276" i="39" a="1"/>
  <c r="BF276" i="39" s="1"/>
  <c r="BG276" i="39" a="1"/>
  <c r="BG276" i="39" s="1"/>
  <c r="BD274" i="39"/>
  <c r="C274" i="39" s="1"/>
  <c r="D274" i="39"/>
  <c r="G274" i="39"/>
  <c r="BF274" i="39" a="1"/>
  <c r="BF274" i="39" s="1"/>
  <c r="BG274" i="39" a="1"/>
  <c r="BG274" i="39" s="1"/>
  <c r="BI274" i="39"/>
  <c r="W274" i="39" s="1"/>
  <c r="P11" i="89" a="1"/>
  <c r="P11" i="89" s="1"/>
  <c r="J49" i="6" s="1"/>
  <c r="E52" i="4" s="1"/>
  <c r="E39" i="89"/>
  <c r="E19" i="89"/>
  <c r="E22" i="89"/>
  <c r="E31" i="89"/>
  <c r="E43" i="89"/>
  <c r="E35" i="89"/>
  <c r="E47" i="89"/>
  <c r="E20" i="89"/>
  <c r="E46" i="89"/>
  <c r="E30" i="89"/>
  <c r="E21" i="89"/>
  <c r="E49" i="89"/>
  <c r="S11" i="89" a="1"/>
  <c r="S11" i="89" s="1"/>
  <c r="G82" i="89"/>
  <c r="G89" i="89"/>
  <c r="G77" i="89"/>
  <c r="G76" i="89"/>
  <c r="G87" i="89"/>
  <c r="G90" i="89"/>
  <c r="G81" i="89"/>
  <c r="G84" i="89"/>
  <c r="G78" i="89"/>
  <c r="G75" i="89"/>
  <c r="G80" i="89"/>
  <c r="I31" i="89"/>
  <c r="I34" i="89"/>
  <c r="I23" i="89"/>
  <c r="I42" i="89"/>
  <c r="I43" i="89"/>
  <c r="I24" i="89"/>
  <c r="AA11" i="89" a="1"/>
  <c r="AA11" i="89" s="1"/>
  <c r="AB51" i="89"/>
  <c r="AB32" i="89"/>
  <c r="AB50" i="89"/>
  <c r="AB48" i="89"/>
  <c r="AB36" i="89"/>
  <c r="AB26" i="89"/>
  <c r="AB34" i="89"/>
  <c r="AB41" i="89"/>
  <c r="AB37" i="89"/>
  <c r="G88" i="89"/>
  <c r="J75" i="89"/>
  <c r="J80" i="89"/>
  <c r="J83" i="89"/>
  <c r="J87" i="89"/>
  <c r="J88" i="89"/>
  <c r="J76" i="89"/>
  <c r="J89" i="89"/>
  <c r="J78" i="89"/>
  <c r="J79" i="89"/>
  <c r="J90" i="89"/>
  <c r="J81" i="89"/>
  <c r="J85" i="89"/>
  <c r="J82" i="89"/>
  <c r="J77" i="89"/>
  <c r="J84" i="89"/>
  <c r="J86" i="89"/>
  <c r="P34" i="89"/>
  <c r="P48" i="89"/>
  <c r="P32" i="89"/>
  <c r="P33" i="89"/>
  <c r="P43" i="89"/>
  <c r="P46" i="89"/>
  <c r="P37" i="89"/>
  <c r="P19" i="89"/>
  <c r="P18" i="89"/>
  <c r="P23" i="89"/>
  <c r="P42" i="89"/>
  <c r="P35" i="89"/>
  <c r="P28" i="89"/>
  <c r="P38" i="89"/>
  <c r="P40" i="89"/>
  <c r="P44" i="89"/>
  <c r="P39" i="89"/>
  <c r="P27" i="89"/>
  <c r="P45" i="89"/>
  <c r="P25" i="89"/>
  <c r="P22" i="89"/>
  <c r="P47" i="89"/>
  <c r="P26" i="89"/>
  <c r="I37" i="89"/>
  <c r="I40" i="89"/>
  <c r="I22" i="89"/>
  <c r="I47" i="89"/>
  <c r="W11" i="89" a="1"/>
  <c r="W11" i="89" s="1"/>
  <c r="I26" i="89"/>
  <c r="I38" i="89"/>
  <c r="I33" i="89"/>
  <c r="AB43" i="89"/>
  <c r="AB46" i="89"/>
  <c r="AB40" i="89"/>
  <c r="AB25" i="89"/>
  <c r="AB23" i="89"/>
  <c r="AB42" i="89"/>
  <c r="AB45" i="89"/>
  <c r="AB38" i="89"/>
  <c r="AB31" i="89"/>
  <c r="G85" i="89"/>
  <c r="S77" i="89"/>
  <c r="S86" i="89"/>
  <c r="S89" i="89"/>
  <c r="I49" i="89"/>
  <c r="I48" i="89"/>
  <c r="I44" i="89"/>
  <c r="I46" i="89"/>
  <c r="I28" i="89"/>
  <c r="E49" i="4"/>
  <c r="G86" i="89"/>
  <c r="AB39" i="89"/>
  <c r="AB19" i="89"/>
  <c r="AB22" i="89"/>
  <c r="AB27" i="89"/>
  <c r="AB44" i="89"/>
  <c r="AB49" i="89"/>
  <c r="AB28" i="89"/>
  <c r="K28" i="89"/>
  <c r="K47" i="89"/>
  <c r="G83" i="89"/>
  <c r="P89" i="89"/>
  <c r="P76" i="89"/>
  <c r="P75" i="89"/>
  <c r="P86" i="89"/>
  <c r="P78" i="89"/>
  <c r="P80" i="89"/>
  <c r="P83" i="89"/>
  <c r="P79" i="89"/>
  <c r="P82" i="89"/>
  <c r="P90" i="89"/>
  <c r="P85" i="89"/>
  <c r="P84" i="89"/>
  <c r="P87" i="89"/>
  <c r="P81" i="89"/>
  <c r="P77" i="89"/>
  <c r="P88" i="89"/>
  <c r="S24" i="89"/>
  <c r="S22" i="89"/>
  <c r="S31" i="89"/>
  <c r="S29" i="89"/>
  <c r="S21" i="89"/>
  <c r="S30" i="89"/>
  <c r="Q78" i="89"/>
  <c r="Q84" i="89"/>
  <c r="Q77" i="89"/>
  <c r="Q89" i="89"/>
  <c r="S38" i="89"/>
  <c r="K43" i="89"/>
  <c r="E85" i="89"/>
  <c r="E88" i="89"/>
  <c r="E82" i="89"/>
  <c r="E83" i="89"/>
  <c r="E46" i="4"/>
  <c r="AB85" i="89"/>
  <c r="AB82" i="89"/>
  <c r="AB75" i="89"/>
  <c r="AB88" i="89"/>
  <c r="AB80" i="89"/>
  <c r="AB79" i="89"/>
  <c r="AB90" i="89"/>
  <c r="AB76" i="89"/>
  <c r="AB86" i="89"/>
  <c r="AB77" i="89"/>
  <c r="AB87" i="89"/>
  <c r="AB78" i="89"/>
  <c r="AB81" i="89"/>
  <c r="AB84" i="89"/>
  <c r="AB89" i="89"/>
  <c r="AB83" i="89"/>
  <c r="O11" i="89" a="1"/>
  <c r="O11" i="89" s="1"/>
  <c r="K44" i="89"/>
  <c r="T28" i="89"/>
  <c r="T35" i="89"/>
  <c r="T23" i="89"/>
  <c r="T37" i="89"/>
  <c r="T18" i="89"/>
  <c r="T34" i="89"/>
  <c r="T42" i="89"/>
  <c r="T30" i="89"/>
  <c r="T33" i="89"/>
  <c r="T32" i="89"/>
  <c r="T38" i="89"/>
  <c r="T26" i="89"/>
  <c r="T44" i="89"/>
  <c r="T41" i="89"/>
  <c r="T21" i="89"/>
  <c r="T19" i="89"/>
  <c r="T24" i="89"/>
  <c r="T25" i="89"/>
  <c r="T20" i="89"/>
  <c r="T31" i="89"/>
  <c r="T29" i="89"/>
  <c r="T27" i="89"/>
  <c r="T39" i="89"/>
  <c r="T22" i="89"/>
  <c r="T36" i="89"/>
  <c r="T90" i="89"/>
  <c r="T82" i="89"/>
  <c r="T83" i="89"/>
  <c r="T77" i="89"/>
  <c r="T85" i="89"/>
  <c r="T88" i="89"/>
  <c r="T81" i="89"/>
  <c r="T80" i="89"/>
  <c r="T75" i="89"/>
  <c r="T89" i="89"/>
  <c r="T79" i="89"/>
  <c r="T78" i="89"/>
  <c r="T86" i="89"/>
  <c r="T84" i="89"/>
  <c r="T76" i="89"/>
  <c r="T87" i="89"/>
  <c r="C29" i="55"/>
  <c r="K46" i="89"/>
  <c r="T43" i="89"/>
  <c r="U29" i="6"/>
  <c r="K13" i="89" s="1"/>
  <c r="C22" i="55"/>
  <c r="E32" i="4"/>
  <c r="G30" i="6"/>
  <c r="K85" i="89"/>
  <c r="K75" i="89"/>
  <c r="K80" i="89"/>
  <c r="K84" i="89"/>
  <c r="K88" i="89"/>
  <c r="K82" i="89"/>
  <c r="K79" i="89"/>
  <c r="K81" i="89"/>
  <c r="K86" i="89"/>
  <c r="K90" i="89"/>
  <c r="K87" i="89"/>
  <c r="K83" i="89"/>
  <c r="K76" i="89"/>
  <c r="K78" i="89"/>
  <c r="K77" i="89"/>
  <c r="K89" i="89"/>
  <c r="AC80" i="89"/>
  <c r="AC83" i="89"/>
  <c r="AC90" i="89"/>
  <c r="AC79" i="89"/>
  <c r="AC89" i="89"/>
  <c r="AC81" i="89"/>
  <c r="AC78" i="89"/>
  <c r="AC84" i="89"/>
  <c r="AC76" i="89"/>
  <c r="AC87" i="89"/>
  <c r="AC82" i="89"/>
  <c r="AC85" i="89"/>
  <c r="AC75" i="89"/>
  <c r="AC86" i="89"/>
  <c r="AC77" i="89"/>
  <c r="AC88" i="89"/>
  <c r="Y24" i="89"/>
  <c r="Y23" i="89"/>
  <c r="Y30" i="89"/>
  <c r="Y37" i="89"/>
  <c r="Y25" i="89"/>
  <c r="Y20" i="89"/>
  <c r="Y29" i="89"/>
  <c r="Y26" i="89"/>
  <c r="Y19" i="89"/>
  <c r="Y38" i="89"/>
  <c r="Y22" i="89"/>
  <c r="Y27" i="89"/>
  <c r="Y44" i="89"/>
  <c r="Y31" i="89"/>
  <c r="Y46" i="89"/>
  <c r="Y39" i="89"/>
  <c r="Y45" i="89"/>
  <c r="Y36" i="89"/>
  <c r="Y28" i="89"/>
  <c r="Y35" i="89"/>
  <c r="Y34" i="89"/>
  <c r="Y21" i="89"/>
  <c r="Y47" i="89"/>
  <c r="Y33" i="89"/>
  <c r="Y40" i="89"/>
  <c r="Y49" i="89"/>
  <c r="U24" i="6"/>
  <c r="E13" i="89" s="1"/>
  <c r="C17" i="55"/>
  <c r="U33" i="6"/>
  <c r="Z13" i="89" s="1"/>
  <c r="C26" i="55"/>
  <c r="O86" i="89"/>
  <c r="O87" i="89"/>
  <c r="O90" i="89"/>
  <c r="O83" i="89"/>
  <c r="O75" i="89"/>
  <c r="O79" i="89"/>
  <c r="O89" i="89"/>
  <c r="O88" i="89"/>
  <c r="O85" i="89"/>
  <c r="O84" i="89"/>
  <c r="O82" i="89"/>
  <c r="O81" i="89"/>
  <c r="O76" i="89"/>
  <c r="O78" i="89"/>
  <c r="O80" i="89"/>
  <c r="O77" i="89"/>
  <c r="K35" i="89"/>
  <c r="K27" i="89"/>
  <c r="K24" i="89"/>
  <c r="K19" i="89"/>
  <c r="K20" i="89"/>
  <c r="K22" i="89"/>
  <c r="K29" i="89"/>
  <c r="K34" i="89"/>
  <c r="K23" i="89"/>
  <c r="K36" i="89"/>
  <c r="K39" i="89"/>
  <c r="K18" i="89"/>
  <c r="K31" i="89"/>
  <c r="K30" i="89"/>
  <c r="K37" i="89"/>
  <c r="K26" i="89"/>
  <c r="K21" i="89"/>
  <c r="K38" i="89"/>
  <c r="K32" i="89"/>
  <c r="K48" i="89"/>
  <c r="K42" i="89"/>
  <c r="K33" i="89"/>
  <c r="K40" i="89"/>
  <c r="K25" i="89"/>
  <c r="K41" i="89"/>
  <c r="U23" i="6"/>
  <c r="AB13" i="89" s="1"/>
  <c r="C16" i="55"/>
  <c r="U30" i="6"/>
  <c r="O13" i="89" s="1"/>
  <c r="C23" i="55"/>
  <c r="U32" i="6"/>
  <c r="C25" i="55"/>
  <c r="U25" i="6"/>
  <c r="AD13" i="89" s="1"/>
  <c r="C18" i="55"/>
  <c r="C38" i="55"/>
  <c r="U46" i="6"/>
  <c r="R13" i="89" s="1"/>
  <c r="Y42" i="89"/>
  <c r="Y80" i="89"/>
  <c r="Y82" i="89"/>
  <c r="Y77" i="89"/>
  <c r="Y90" i="89"/>
  <c r="Y76" i="89"/>
  <c r="Y83" i="89"/>
  <c r="Y84" i="89"/>
  <c r="Y81" i="89"/>
  <c r="Y79" i="89"/>
  <c r="Y78" i="89"/>
  <c r="Y87" i="89"/>
  <c r="Y85" i="89"/>
  <c r="Y75" i="89"/>
  <c r="Y88" i="89"/>
  <c r="Y89" i="89"/>
  <c r="Y86" i="89"/>
  <c r="I30" i="89"/>
  <c r="I35" i="89"/>
  <c r="I41" i="89"/>
  <c r="I39" i="89"/>
  <c r="I19" i="89"/>
  <c r="I36" i="89"/>
  <c r="I18" i="89"/>
  <c r="I21" i="89"/>
  <c r="R46" i="89"/>
  <c r="C11" i="89" a="1"/>
  <c r="C11" i="89" s="1"/>
  <c r="J20" i="6" s="1"/>
  <c r="E23" i="4" s="1"/>
  <c r="E42" i="4"/>
  <c r="R37" i="89"/>
  <c r="G28" i="6"/>
  <c r="E30" i="4"/>
  <c r="E34" i="4"/>
  <c r="E33" i="4"/>
  <c r="E48" i="4"/>
  <c r="E47" i="4"/>
  <c r="R85" i="89"/>
  <c r="R83" i="89"/>
  <c r="R84" i="89"/>
  <c r="R81" i="89"/>
  <c r="R82" i="89"/>
  <c r="R75" i="89"/>
  <c r="R76" i="89"/>
  <c r="R89" i="89"/>
  <c r="R90" i="89"/>
  <c r="E41" i="4"/>
  <c r="R38" i="89"/>
  <c r="G24" i="6"/>
  <c r="E25" i="4"/>
  <c r="G23" i="6"/>
  <c r="G36" i="6"/>
  <c r="E38" i="4"/>
  <c r="G26" i="6"/>
  <c r="E28" i="4"/>
  <c r="E43" i="4"/>
  <c r="G41" i="6"/>
  <c r="R32" i="89"/>
  <c r="R23" i="89"/>
  <c r="R31" i="89"/>
  <c r="R30" i="89"/>
  <c r="R34" i="89"/>
  <c r="R42" i="89"/>
  <c r="R25" i="89"/>
  <c r="R33" i="89"/>
  <c r="R41" i="89"/>
  <c r="R26" i="89"/>
  <c r="R22" i="89"/>
  <c r="R36" i="89"/>
  <c r="R44" i="89"/>
  <c r="R19" i="89"/>
  <c r="R27" i="89"/>
  <c r="R35" i="89"/>
  <c r="R43" i="89"/>
  <c r="R28" i="89"/>
  <c r="R20" i="89"/>
  <c r="R18" i="89"/>
  <c r="R21" i="89"/>
  <c r="R29" i="89"/>
  <c r="R24" i="89"/>
  <c r="R45" i="89"/>
  <c r="BP55" i="39"/>
  <c r="BV55" i="39"/>
  <c r="BO55" i="39"/>
  <c r="BP60" i="39"/>
  <c r="BK60" i="39"/>
  <c r="BN60" i="39"/>
  <c r="BL58" i="39"/>
  <c r="BM58" i="39"/>
  <c r="BU58" i="39"/>
  <c r="BU53" i="39"/>
  <c r="BP53" i="39"/>
  <c r="BK53" i="39"/>
  <c r="BL57" i="39"/>
  <c r="BN57" i="39"/>
  <c r="BQ57" i="39"/>
  <c r="BM52" i="39"/>
  <c r="BS52" i="39"/>
  <c r="BR52" i="39"/>
  <c r="BL59" i="39"/>
  <c r="BQ59" i="39"/>
  <c r="BS59" i="39"/>
  <c r="BP56" i="39"/>
  <c r="BK56" i="39"/>
  <c r="BN56" i="39"/>
  <c r="BT61" i="39"/>
  <c r="BO61" i="39"/>
  <c r="BM61" i="39"/>
  <c r="BP54" i="39"/>
  <c r="BR54" i="39"/>
  <c r="BK54" i="39"/>
  <c r="BL55" i="39"/>
  <c r="BQ55" i="39"/>
  <c r="BS55" i="39"/>
  <c r="BL60" i="39"/>
  <c r="BU60" i="39"/>
  <c r="BR60" i="39"/>
  <c r="BS58" i="39"/>
  <c r="BV58" i="39"/>
  <c r="BO58" i="39"/>
  <c r="BQ53" i="39"/>
  <c r="BL53" i="39"/>
  <c r="BV53" i="39"/>
  <c r="BU57" i="39"/>
  <c r="BR57" i="39"/>
  <c r="BK57" i="39"/>
  <c r="BT52" i="39"/>
  <c r="BO52" i="39"/>
  <c r="BN52" i="39"/>
  <c r="BR59" i="39"/>
  <c r="BK59" i="39"/>
  <c r="BN59" i="39"/>
  <c r="BL56" i="39"/>
  <c r="BU56" i="39"/>
  <c r="BR56" i="39"/>
  <c r="BP61" i="39"/>
  <c r="BS61" i="39"/>
  <c r="BV61" i="39"/>
  <c r="BL54" i="39"/>
  <c r="BM54" i="39"/>
  <c r="BU54" i="39"/>
  <c r="BR55" i="39"/>
  <c r="BK55" i="39"/>
  <c r="BN55" i="39"/>
  <c r="BV60" i="39"/>
  <c r="BO60" i="39"/>
  <c r="BM60" i="39"/>
  <c r="BT58" i="39"/>
  <c r="BN58" i="39"/>
  <c r="BQ58" i="39"/>
  <c r="BM53" i="39"/>
  <c r="BS53" i="39"/>
  <c r="BR53" i="39"/>
  <c r="BT57" i="39"/>
  <c r="BO57" i="39"/>
  <c r="BM57" i="39"/>
  <c r="BU52" i="39"/>
  <c r="BP52" i="39"/>
  <c r="BK52" i="39"/>
  <c r="BT59" i="39"/>
  <c r="BM59" i="39"/>
  <c r="BU59" i="39"/>
  <c r="BV56" i="39"/>
  <c r="BO56" i="39"/>
  <c r="BM56" i="39"/>
  <c r="BL61" i="39"/>
  <c r="BN61" i="39"/>
  <c r="BQ61" i="39"/>
  <c r="BS54" i="39"/>
  <c r="BV54" i="39"/>
  <c r="BO54" i="39"/>
  <c r="BT55" i="39"/>
  <c r="BM55" i="39"/>
  <c r="BU55" i="39"/>
  <c r="BT60" i="39"/>
  <c r="BQ60" i="39"/>
  <c r="BS60" i="39"/>
  <c r="BP58" i="39"/>
  <c r="BR58" i="39"/>
  <c r="BK58" i="39"/>
  <c r="BT53" i="39"/>
  <c r="BO53" i="39"/>
  <c r="BN53" i="39"/>
  <c r="BP57" i="39"/>
  <c r="BS57" i="39"/>
  <c r="BV57" i="39"/>
  <c r="BQ52" i="39"/>
  <c r="BL52" i="39"/>
  <c r="BV52" i="39"/>
  <c r="BP59" i="39"/>
  <c r="BV59" i="39"/>
  <c r="BO59" i="39"/>
  <c r="BT56" i="39"/>
  <c r="BQ56" i="39"/>
  <c r="BS56" i="39"/>
  <c r="BU61" i="39"/>
  <c r="BR61" i="39"/>
  <c r="BK61" i="39"/>
  <c r="BT54" i="39"/>
  <c r="BN54" i="39"/>
  <c r="BQ54" i="39"/>
  <c r="BO62" i="39"/>
  <c r="BN62" i="39"/>
  <c r="BM62" i="39"/>
  <c r="BU62" i="39"/>
  <c r="BK62" i="39"/>
  <c r="BL62" i="39"/>
  <c r="BT62" i="39"/>
  <c r="BP62" i="39"/>
  <c r="BR62" i="39"/>
  <c r="BQ62" i="39"/>
  <c r="BV62" i="39"/>
  <c r="BS62" i="39"/>
  <c r="B264" i="39"/>
  <c r="B61" i="39"/>
  <c r="BT21" i="39"/>
  <c r="BU21" i="39"/>
  <c r="BM25" i="39"/>
  <c r="BV21" i="39"/>
  <c r="BL28" i="39"/>
  <c r="B72" i="39"/>
  <c r="BV22" i="39"/>
  <c r="BL72" i="39"/>
  <c r="BT20" i="39"/>
  <c r="BO21" i="39"/>
  <c r="BR28" i="39"/>
  <c r="BM30" i="39"/>
  <c r="BV72" i="39"/>
  <c r="BU25" i="39"/>
  <c r="BK26" i="39"/>
  <c r="B55" i="39"/>
  <c r="BN21" i="39"/>
  <c r="BV20" i="39"/>
  <c r="B62" i="39"/>
  <c r="BP30" i="39"/>
  <c r="B235" i="39"/>
  <c r="BL26" i="39"/>
  <c r="BS28" i="39"/>
  <c r="BM27" i="39"/>
  <c r="BQ75" i="39"/>
  <c r="BR26" i="39"/>
  <c r="B276" i="39"/>
  <c r="B31" i="39"/>
  <c r="BT29" i="39"/>
  <c r="BN24" i="39"/>
  <c r="BV25" i="39"/>
  <c r="BV75" i="39"/>
  <c r="BK21" i="39"/>
  <c r="BO20" i="39"/>
  <c r="BU26" i="39"/>
  <c r="B21" i="39"/>
  <c r="BK72" i="39"/>
  <c r="B33" i="39"/>
  <c r="BU23" i="39"/>
  <c r="BL27" i="39"/>
  <c r="BM22" i="39"/>
  <c r="BT72" i="39"/>
  <c r="BK29" i="39"/>
  <c r="BM75" i="39"/>
  <c r="BR30" i="39"/>
  <c r="B275" i="39"/>
  <c r="BO26" i="39"/>
  <c r="B53" i="39"/>
  <c r="BN22" i="39"/>
  <c r="BN72" i="39"/>
  <c r="BP24" i="39"/>
  <c r="BQ29" i="39"/>
  <c r="BP26" i="39"/>
  <c r="BL23" i="39"/>
  <c r="BK25" i="39"/>
  <c r="BL25" i="39"/>
  <c r="BL29" i="39"/>
  <c r="BR72" i="39"/>
  <c r="BQ30" i="39"/>
  <c r="BR75" i="39"/>
  <c r="B23" i="39"/>
  <c r="BL75" i="39"/>
  <c r="B25" i="39"/>
  <c r="BO75" i="39"/>
  <c r="BN28" i="39"/>
  <c r="BK23" i="39"/>
  <c r="BP72" i="39"/>
  <c r="B277" i="39"/>
  <c r="B287" i="39"/>
  <c r="B58" i="39"/>
  <c r="B234" i="39"/>
  <c r="BN26" i="39"/>
  <c r="BT35" i="39"/>
  <c r="BT22" i="39"/>
  <c r="BS20" i="39"/>
  <c r="BU20" i="39"/>
  <c r="B54" i="39"/>
  <c r="BL21" i="39"/>
  <c r="BT23" i="39"/>
  <c r="BR35" i="39"/>
  <c r="BN27" i="39"/>
  <c r="BU29" i="39"/>
  <c r="BM24" i="39"/>
  <c r="BN75" i="39"/>
  <c r="BS27" i="39"/>
  <c r="BS35" i="39"/>
  <c r="BR22" i="39"/>
  <c r="B91" i="39"/>
  <c r="B27" i="39"/>
  <c r="BV26" i="39"/>
  <c r="BT30" i="39"/>
  <c r="BP75" i="39"/>
  <c r="BT25" i="39"/>
  <c r="BP21" i="39"/>
  <c r="BU24" i="39"/>
  <c r="B92" i="39"/>
  <c r="BO27" i="39"/>
  <c r="BT26" i="39"/>
  <c r="B274" i="39"/>
  <c r="BP23" i="39"/>
  <c r="BN23" i="39"/>
  <c r="BQ28" i="39"/>
  <c r="B35" i="39"/>
  <c r="B57" i="39"/>
  <c r="BK22" i="39"/>
  <c r="B56" i="39"/>
  <c r="BO25" i="39"/>
  <c r="BV30" i="39"/>
  <c r="BQ21" i="39"/>
  <c r="B273" i="39"/>
  <c r="BO22" i="39"/>
  <c r="BM72" i="39"/>
  <c r="BR27" i="39"/>
  <c r="BS22" i="39"/>
  <c r="BM28" i="39"/>
  <c r="BN35" i="39"/>
  <c r="BQ23" i="39"/>
  <c r="B266" i="39"/>
  <c r="BO29" i="39"/>
  <c r="BL24" i="39"/>
  <c r="B60" i="39"/>
  <c r="B75" i="39"/>
  <c r="BT27" i="39"/>
  <c r="B233" i="39"/>
  <c r="BT75" i="39"/>
  <c r="B52" i="39"/>
  <c r="BR24" i="39"/>
  <c r="BO72" i="39"/>
  <c r="BL30" i="39"/>
  <c r="BS29" i="39"/>
  <c r="BT28" i="39"/>
  <c r="BU28" i="39"/>
  <c r="BO28" i="39"/>
  <c r="BQ22" i="39"/>
  <c r="B29" i="39"/>
  <c r="BV35" i="39"/>
  <c r="BR29" i="39"/>
  <c r="BO35" i="39"/>
  <c r="BQ24" i="39"/>
  <c r="BO24" i="39"/>
  <c r="BV28" i="39"/>
  <c r="BP25" i="39"/>
  <c r="BL20" i="39"/>
  <c r="BQ72" i="39"/>
  <c r="BQ25" i="39"/>
  <c r="B265" i="39"/>
  <c r="BU35" i="39"/>
  <c r="BK27" i="39"/>
  <c r="BQ20" i="39"/>
  <c r="BP22" i="39"/>
  <c r="BO23" i="39"/>
  <c r="BM29" i="39"/>
  <c r="BQ26" i="39"/>
  <c r="BK30" i="39"/>
  <c r="BR20" i="39"/>
  <c r="BU27" i="39"/>
  <c r="BP29" i="39"/>
  <c r="BN25" i="39"/>
  <c r="BK75" i="39"/>
  <c r="BM21" i="39"/>
  <c r="BN30" i="39"/>
  <c r="BS75" i="39"/>
  <c r="BK24" i="39"/>
  <c r="BN20" i="39"/>
  <c r="B315" i="39"/>
  <c r="BS72" i="39"/>
  <c r="BP20" i="39"/>
  <c r="BR25" i="39"/>
  <c r="BU30" i="39"/>
  <c r="BM20" i="39"/>
  <c r="BQ27" i="39"/>
  <c r="BS21" i="39"/>
  <c r="BT24" i="39"/>
  <c r="BK28" i="39"/>
  <c r="B282" i="39"/>
  <c r="B278" i="39"/>
  <c r="BV24" i="39"/>
  <c r="B59" i="39"/>
  <c r="BN29" i="39"/>
  <c r="BR21" i="39"/>
  <c r="BQ35" i="39"/>
  <c r="BM26" i="39"/>
  <c r="BL22" i="39"/>
  <c r="BP28" i="39"/>
  <c r="BM23" i="39"/>
  <c r="BU22" i="39"/>
  <c r="BK20" i="39"/>
  <c r="BS23" i="39"/>
  <c r="BR23" i="39"/>
  <c r="BS25" i="39"/>
  <c r="BM35" i="39"/>
  <c r="BP35" i="39"/>
  <c r="BU75" i="39"/>
  <c r="BS24" i="39"/>
  <c r="BV27" i="39"/>
  <c r="BL35" i="39"/>
  <c r="BS26" i="39"/>
  <c r="BV29" i="39"/>
  <c r="BO30" i="39"/>
  <c r="BV23" i="39"/>
  <c r="BP27" i="39"/>
  <c r="BS30" i="39"/>
  <c r="BU72" i="39"/>
  <c r="BK35" i="39"/>
  <c r="I266" i="39" l="1"/>
  <c r="AV266" i="39"/>
  <c r="I265" i="39"/>
  <c r="AV265" i="39"/>
  <c r="I264" i="39"/>
  <c r="AV264" i="39"/>
  <c r="I133" i="39"/>
  <c r="AV133" i="39"/>
  <c r="E133" i="39" s="1"/>
  <c r="G49" i="6"/>
  <c r="E24" i="4"/>
  <c r="BG61" i="39" a="1"/>
  <c r="BG61" i="39" s="1"/>
  <c r="BF61" i="39" a="1"/>
  <c r="BF61" i="39" s="1"/>
  <c r="BF58" i="39" a="1"/>
  <c r="BF58" i="39" s="1"/>
  <c r="BG58" i="39" a="1"/>
  <c r="BG58" i="39" s="1"/>
  <c r="BG52" i="39" a="1"/>
  <c r="BG52" i="39" s="1"/>
  <c r="BF52" i="39" a="1"/>
  <c r="BF52" i="39" s="1"/>
  <c r="BG55" i="39" a="1"/>
  <c r="BG55" i="39" s="1"/>
  <c r="BF55" i="39" a="1"/>
  <c r="BF55" i="39" s="1"/>
  <c r="BG59" i="39" a="1"/>
  <c r="BG59" i="39" s="1"/>
  <c r="BF59" i="39" a="1"/>
  <c r="BF59" i="39" s="1"/>
  <c r="BG57" i="39" a="1"/>
  <c r="BG57" i="39" s="1"/>
  <c r="BF57" i="39" a="1"/>
  <c r="BF57" i="39" s="1"/>
  <c r="BF62" i="39" a="1"/>
  <c r="BF62" i="39" s="1"/>
  <c r="BG62" i="39" a="1"/>
  <c r="BG62" i="39" s="1"/>
  <c r="BF54" i="39" a="1"/>
  <c r="BF54" i="39" s="1"/>
  <c r="BG54" i="39" a="1"/>
  <c r="BG54" i="39" s="1"/>
  <c r="BG56" i="39" a="1"/>
  <c r="BG56" i="39" s="1"/>
  <c r="BF56" i="39" a="1"/>
  <c r="BF56" i="39" s="1"/>
  <c r="BG53" i="39" a="1"/>
  <c r="BG53" i="39" s="1"/>
  <c r="BF53" i="39" a="1"/>
  <c r="BF53" i="39" s="1"/>
  <c r="BG60" i="39" a="1"/>
  <c r="BG60" i="39" s="1"/>
  <c r="BF60" i="39" a="1"/>
  <c r="BF60" i="39" s="1"/>
  <c r="W52" i="39"/>
  <c r="BI51" i="39"/>
  <c r="W51" i="39" s="1"/>
  <c r="G20" i="6"/>
  <c r="G22" i="6"/>
  <c r="AV189" i="39"/>
  <c r="E189" i="39" s="1"/>
  <c r="I189" i="39"/>
  <c r="AV316" i="39"/>
  <c r="E316" i="39" s="1"/>
  <c r="BG72" i="39" a="1"/>
  <c r="BG72" i="39" s="1"/>
  <c r="BF72" i="39" a="1"/>
  <c r="BF72" i="39" s="1"/>
  <c r="I287" i="39"/>
  <c r="AV287" i="39"/>
  <c r="AV314" i="39"/>
  <c r="E314" i="39" s="1"/>
  <c r="I315" i="39"/>
  <c r="AV315" i="39"/>
  <c r="BG26" i="39" a="1"/>
  <c r="BG26" i="39" s="1"/>
  <c r="AV26" i="39" s="1"/>
  <c r="BF26" i="39" a="1"/>
  <c r="BF26" i="39" s="1"/>
  <c r="BF28" i="39" a="1"/>
  <c r="BF28" i="39" s="1"/>
  <c r="BG28" i="39" a="1"/>
  <c r="BG28" i="39" s="1"/>
  <c r="AV28" i="39" s="1"/>
  <c r="BF20" i="39" a="1"/>
  <c r="BF20" i="39" s="1"/>
  <c r="BG20" i="39" a="1"/>
  <c r="BG20" i="39" s="1"/>
  <c r="AV20" i="39" s="1"/>
  <c r="BG30" i="39" a="1"/>
  <c r="BG30" i="39" s="1"/>
  <c r="AV30" i="39" s="1"/>
  <c r="BF30" i="39" a="1"/>
  <c r="BF30" i="39" s="1"/>
  <c r="BG22" i="39" a="1"/>
  <c r="BG22" i="39" s="1"/>
  <c r="AV22" i="39" s="1"/>
  <c r="BF22" i="39" a="1"/>
  <c r="BF22" i="39" s="1"/>
  <c r="BF24" i="39" a="1"/>
  <c r="BF24" i="39" s="1"/>
  <c r="BG24" i="39" a="1"/>
  <c r="BG24" i="39" s="1"/>
  <c r="I24" i="39" s="1"/>
  <c r="BG34" i="39" a="1"/>
  <c r="BG34" i="39" s="1"/>
  <c r="AV34" i="39" s="1"/>
  <c r="BF32" i="39" a="1"/>
  <c r="BF32" i="39" s="1"/>
  <c r="BF34" i="39" a="1"/>
  <c r="BF34" i="39" s="1"/>
  <c r="BG35" i="39" a="1"/>
  <c r="BG35" i="39" s="1"/>
  <c r="BF35" i="39" a="1"/>
  <c r="BF35" i="39" s="1"/>
  <c r="BG32" i="39" a="1"/>
  <c r="BG32" i="39" s="1"/>
  <c r="I32" i="39" s="1"/>
  <c r="BG33" i="39" a="1"/>
  <c r="BG33" i="39" s="1"/>
  <c r="BF33" i="39" a="1"/>
  <c r="BF33" i="39" s="1"/>
  <c r="BG31" i="39" a="1"/>
  <c r="BG31" i="39" s="1"/>
  <c r="BF31" i="39" a="1"/>
  <c r="BF31" i="39" s="1"/>
  <c r="BG29" i="39" a="1"/>
  <c r="BG29" i="39" s="1"/>
  <c r="BF29" i="39" a="1"/>
  <c r="BF29" i="39" s="1"/>
  <c r="BG27" i="39" a="1"/>
  <c r="BG27" i="39" s="1"/>
  <c r="BF27" i="39" a="1"/>
  <c r="BF27" i="39" s="1"/>
  <c r="BG25" i="39" a="1"/>
  <c r="BG25" i="39" s="1"/>
  <c r="BF25" i="39" a="1"/>
  <c r="BF25" i="39" s="1"/>
  <c r="BG23" i="39" a="1"/>
  <c r="BG23" i="39" s="1"/>
  <c r="BF23" i="39" a="1"/>
  <c r="BF23" i="39" s="1"/>
  <c r="BG21" i="39" a="1"/>
  <c r="BG21" i="39" s="1"/>
  <c r="BF21" i="39" a="1"/>
  <c r="BF21" i="39" s="1"/>
  <c r="I235" i="39"/>
  <c r="AV235" i="39"/>
  <c r="I234" i="39"/>
  <c r="AV234" i="39"/>
  <c r="AV233" i="39"/>
  <c r="I233" i="39"/>
  <c r="I282" i="39"/>
  <c r="AV282" i="39"/>
  <c r="I92" i="39"/>
  <c r="AV92" i="39"/>
  <c r="I91" i="39"/>
  <c r="AV91" i="39"/>
  <c r="BG75" i="39" a="1"/>
  <c r="BG75" i="39" s="1"/>
  <c r="BF75" i="39" a="1"/>
  <c r="BF75" i="39" s="1"/>
  <c r="I277" i="39"/>
  <c r="AV277" i="39"/>
  <c r="BF272" i="39"/>
  <c r="W273" i="39"/>
  <c r="BI272" i="39"/>
  <c r="W272" i="39" s="1"/>
  <c r="I276" i="39"/>
  <c r="AV276" i="39"/>
  <c r="I278" i="39"/>
  <c r="AV278" i="39"/>
  <c r="AV273" i="39"/>
  <c r="I273" i="39"/>
  <c r="BG272" i="39"/>
  <c r="I272" i="39" s="1"/>
  <c r="I275" i="39"/>
  <c r="AV275" i="39"/>
  <c r="I274" i="39"/>
  <c r="AV274" i="39"/>
  <c r="AE5" i="89"/>
  <c r="E266" i="39" l="1"/>
  <c r="E265" i="39"/>
  <c r="E264" i="39"/>
  <c r="BF51" i="39"/>
  <c r="AV60" i="39"/>
  <c r="I60" i="39"/>
  <c r="I54" i="39"/>
  <c r="AV54" i="39"/>
  <c r="AV62" i="39"/>
  <c r="I62" i="39"/>
  <c r="I57" i="39"/>
  <c r="AV57" i="39"/>
  <c r="I59" i="39"/>
  <c r="AV59" i="39"/>
  <c r="I61" i="39"/>
  <c r="AV61" i="39"/>
  <c r="AV53" i="39"/>
  <c r="I53" i="39"/>
  <c r="I58" i="39"/>
  <c r="AV58" i="39"/>
  <c r="AV52" i="39"/>
  <c r="BG51" i="39"/>
  <c r="I51" i="39" s="1"/>
  <c r="I52" i="39"/>
  <c r="AV56" i="39"/>
  <c r="I56" i="39"/>
  <c r="I55" i="39"/>
  <c r="AV55" i="39"/>
  <c r="G51" i="6"/>
  <c r="J51" i="6" s="1" a="1"/>
  <c r="J51" i="6" s="1"/>
  <c r="E53" i="4" s="1"/>
  <c r="I72" i="39"/>
  <c r="AV72" i="39"/>
  <c r="E287" i="39"/>
  <c r="I30" i="39"/>
  <c r="I26" i="39"/>
  <c r="AV24" i="39"/>
  <c r="E24" i="39" s="1"/>
  <c r="E315" i="39"/>
  <c r="I28" i="39"/>
  <c r="I22" i="39"/>
  <c r="I20" i="39"/>
  <c r="I34" i="39"/>
  <c r="AV32" i="39"/>
  <c r="E32" i="39" s="1"/>
  <c r="I35" i="39"/>
  <c r="AV35" i="39"/>
  <c r="E34" i="39"/>
  <c r="I33" i="39"/>
  <c r="AV33" i="39"/>
  <c r="I31" i="39"/>
  <c r="AV31" i="39"/>
  <c r="E30" i="39"/>
  <c r="I29" i="39"/>
  <c r="AV29" i="39"/>
  <c r="E28" i="39"/>
  <c r="I27" i="39"/>
  <c r="AV27" i="39"/>
  <c r="E26" i="39"/>
  <c r="I25" i="39"/>
  <c r="AV25" i="39"/>
  <c r="I23" i="39"/>
  <c r="AV23" i="39"/>
  <c r="E22" i="39"/>
  <c r="I21" i="39"/>
  <c r="AV21" i="39"/>
  <c r="E20" i="39"/>
  <c r="E235" i="39"/>
  <c r="E234" i="39"/>
  <c r="E233" i="39"/>
  <c r="E282" i="39"/>
  <c r="E92" i="39"/>
  <c r="E91" i="39"/>
  <c r="I75" i="39"/>
  <c r="AV75" i="39"/>
  <c r="E277" i="39"/>
  <c r="E275" i="39"/>
  <c r="E278" i="39"/>
  <c r="E274" i="39"/>
  <c r="E273" i="39"/>
  <c r="E276" i="39"/>
  <c r="E52" i="39" l="1"/>
  <c r="E58" i="39"/>
  <c r="E57" i="39"/>
  <c r="E54" i="39"/>
  <c r="E55" i="39"/>
  <c r="E53" i="39"/>
  <c r="E56" i="39"/>
  <c r="E61" i="39"/>
  <c r="E59" i="39"/>
  <c r="E62" i="39"/>
  <c r="E60" i="39"/>
  <c r="H7" i="39"/>
  <c r="E72" i="39"/>
  <c r="E35" i="39"/>
  <c r="E33" i="39"/>
  <c r="E31" i="39"/>
  <c r="E29" i="39"/>
  <c r="E27" i="39"/>
  <c r="E25" i="39"/>
  <c r="E23" i="39"/>
  <c r="E21" i="39"/>
  <c r="E75" i="39"/>
  <c r="M42" i="6"/>
  <c r="H42" i="6" l="1"/>
  <c r="N12" i="89" l="1"/>
  <c r="K42" i="6"/>
  <c r="L42" i="6" l="1"/>
  <c r="BE277" i="39"/>
  <c r="BE278" i="39"/>
  <c r="BE273" i="39"/>
  <c r="BE276" i="39"/>
  <c r="BE272" i="39"/>
  <c r="Y272" i="39" s="1"/>
  <c r="BE275" i="39"/>
  <c r="BE274" i="39"/>
  <c r="N14" i="89" a="1"/>
  <c r="N14" i="89" s="1"/>
  <c r="N15" i="89" a="1"/>
  <c r="N15" i="89" s="1"/>
  <c r="BH274" i="39" l="1" a="1"/>
  <c r="BH274" i="39" s="1"/>
  <c r="J274" i="39" s="1"/>
  <c r="BA274" i="39"/>
  <c r="H274" i="39" s="1"/>
  <c r="AW274" i="39"/>
  <c r="F274" i="39" s="1"/>
  <c r="AW273" i="39"/>
  <c r="F273" i="39" s="1"/>
  <c r="BH273" i="39" a="1"/>
  <c r="BH273" i="39" s="1"/>
  <c r="BA273" i="39"/>
  <c r="H273" i="39" s="1"/>
  <c r="BH275" i="39" a="1"/>
  <c r="BH275" i="39" s="1"/>
  <c r="J275" i="39" s="1"/>
  <c r="BA275" i="39"/>
  <c r="H275" i="39" s="1"/>
  <c r="AW275" i="39"/>
  <c r="F275" i="39" s="1"/>
  <c r="BH278" i="39" a="1"/>
  <c r="BH278" i="39" s="1"/>
  <c r="J278" i="39" s="1"/>
  <c r="BA278" i="39"/>
  <c r="H278" i="39" s="1"/>
  <c r="AW278" i="39"/>
  <c r="F278" i="39" s="1"/>
  <c r="BH277" i="39" a="1"/>
  <c r="BH277" i="39" s="1"/>
  <c r="J277" i="39" s="1"/>
  <c r="BA277" i="39"/>
  <c r="H277" i="39" s="1"/>
  <c r="AW277" i="39"/>
  <c r="F277" i="39" s="1"/>
  <c r="BA276" i="39"/>
  <c r="H276" i="39" s="1"/>
  <c r="AW276" i="39"/>
  <c r="F276" i="39" s="1"/>
  <c r="BH276" i="39" a="1"/>
  <c r="BH276" i="39" s="1"/>
  <c r="J276" i="39" s="1"/>
  <c r="J273" i="39" l="1"/>
  <c r="BH272" i="39"/>
  <c r="J272" i="39" s="1"/>
  <c r="L35" i="55" l="1"/>
  <c r="M21" i="6" l="1"/>
  <c r="L14" i="55" s="1"/>
  <c r="D35" i="55"/>
  <c r="H21" i="6" l="1"/>
  <c r="H35" i="55" l="1"/>
  <c r="J35" i="55" s="1"/>
  <c r="K21" i="6"/>
  <c r="H14" i="55"/>
  <c r="J14" i="55" s="1"/>
  <c r="F12" i="89"/>
  <c r="F15" i="89" l="1" a="1"/>
  <c r="F15" i="89" s="1"/>
  <c r="F14" i="89" a="1"/>
  <c r="F14" i="89" s="1"/>
  <c r="G35" i="55"/>
  <c r="I35" i="55" s="1"/>
  <c r="K35" i="55" s="1"/>
  <c r="L21" i="6"/>
  <c r="D14" i="55" s="1"/>
  <c r="BE62" i="39"/>
  <c r="BE55" i="39"/>
  <c r="BE54" i="39"/>
  <c r="BE60" i="39"/>
  <c r="G14" i="55"/>
  <c r="I14" i="55" s="1"/>
  <c r="K14" i="55" s="1"/>
  <c r="BE51" i="39"/>
  <c r="Y51" i="39" s="1"/>
  <c r="BE56" i="39"/>
  <c r="BE61" i="39"/>
  <c r="BE53" i="39"/>
  <c r="BE59" i="39"/>
  <c r="BE58" i="39"/>
  <c r="BE57" i="39"/>
  <c r="BE52" i="39"/>
  <c r="BH52" i="39" l="1" a="1"/>
  <c r="BH52" i="39" s="1"/>
  <c r="AW52" i="39"/>
  <c r="F52" i="39" s="1"/>
  <c r="BA52" i="39"/>
  <c r="H52" i="39" s="1"/>
  <c r="BA60" i="39"/>
  <c r="H60" i="39" s="1"/>
  <c r="BH60" i="39" a="1"/>
  <c r="BH60" i="39" s="1"/>
  <c r="J60" i="39" s="1"/>
  <c r="AW60" i="39"/>
  <c r="F60" i="39" s="1"/>
  <c r="AW62" i="39"/>
  <c r="F62" i="39" s="1"/>
  <c r="BA62" i="39"/>
  <c r="H62" i="39" s="1"/>
  <c r="BH62" i="39" a="1"/>
  <c r="BH62" i="39" s="1"/>
  <c r="J62" i="39" s="1"/>
  <c r="AW57" i="39"/>
  <c r="F57" i="39" s="1"/>
  <c r="BA57" i="39"/>
  <c r="H57" i="39" s="1"/>
  <c r="BH57" i="39" a="1"/>
  <c r="BH57" i="39" s="1"/>
  <c r="J57" i="39" s="1"/>
  <c r="BA53" i="39"/>
  <c r="H53" i="39" s="1"/>
  <c r="BH53" i="39" a="1"/>
  <c r="BH53" i="39" s="1"/>
  <c r="J53" i="39" s="1"/>
  <c r="AW53" i="39"/>
  <c r="F53" i="39" s="1"/>
  <c r="BH54" i="39" a="1"/>
  <c r="BH54" i="39" s="1"/>
  <c r="J54" i="39" s="1"/>
  <c r="AW54" i="39"/>
  <c r="F54" i="39" s="1"/>
  <c r="BA54" i="39"/>
  <c r="H54" i="39" s="1"/>
  <c r="BA58" i="39"/>
  <c r="H58" i="39" s="1"/>
  <c r="BH58" i="39" a="1"/>
  <c r="BH58" i="39" s="1"/>
  <c r="J58" i="39" s="1"/>
  <c r="AW58" i="39"/>
  <c r="F58" i="39" s="1"/>
  <c r="BA61" i="39"/>
  <c r="H61" i="39" s="1"/>
  <c r="BH61" i="39" a="1"/>
  <c r="BH61" i="39" s="1"/>
  <c r="J61" i="39" s="1"/>
  <c r="AW61" i="39"/>
  <c r="F61" i="39" s="1"/>
  <c r="BA56" i="39"/>
  <c r="H56" i="39" s="1"/>
  <c r="BH56" i="39" a="1"/>
  <c r="BH56" i="39" s="1"/>
  <c r="J56" i="39" s="1"/>
  <c r="AW56" i="39"/>
  <c r="F56" i="39" s="1"/>
  <c r="AW55" i="39"/>
  <c r="F55" i="39" s="1"/>
  <c r="BA55" i="39"/>
  <c r="H55" i="39" s="1"/>
  <c r="BH55" i="39" a="1"/>
  <c r="BH55" i="39" s="1"/>
  <c r="J55" i="39" s="1"/>
  <c r="BA59" i="39"/>
  <c r="H59" i="39" s="1"/>
  <c r="BH59" i="39" a="1"/>
  <c r="BH59" i="39" s="1"/>
  <c r="J59" i="39" s="1"/>
  <c r="AW59" i="39"/>
  <c r="F59" i="39" s="1"/>
  <c r="AR79" i="39"/>
  <c r="AR323" i="39"/>
  <c r="AU109" i="39"/>
  <c r="AQ215" i="39"/>
  <c r="AQ238" i="39"/>
  <c r="AZ146" i="39"/>
  <c r="AQ200" i="39"/>
  <c r="B310" i="39"/>
  <c r="AZ38" i="39"/>
  <c r="BB118" i="39"/>
  <c r="AU93" i="39"/>
  <c r="AU300" i="39"/>
  <c r="AQ174" i="39"/>
  <c r="BC123" i="39"/>
  <c r="AR74" i="39"/>
  <c r="AQ13" i="39"/>
  <c r="AQ153" i="39"/>
  <c r="AQ318" i="39"/>
  <c r="BC153" i="39"/>
  <c r="B270" i="39"/>
  <c r="AR38" i="39"/>
  <c r="BJ241" i="39"/>
  <c r="B183" i="39"/>
  <c r="BC303" i="39"/>
  <c r="AQ191" i="39"/>
  <c r="B230" i="39"/>
  <c r="BB141" i="39"/>
  <c r="BC236" i="39"/>
  <c r="BJ214" i="39"/>
  <c r="BJ326" i="39"/>
  <c r="AQ69" i="39"/>
  <c r="AU65" i="39"/>
  <c r="AU71" i="39"/>
  <c r="B19" i="39"/>
  <c r="BC337" i="39"/>
  <c r="BC112" i="39"/>
  <c r="AZ114" i="39"/>
  <c r="AU152" i="39"/>
  <c r="BB49" i="39"/>
  <c r="AR256" i="39"/>
  <c r="AR178" i="39"/>
  <c r="BB196" i="39"/>
  <c r="AR84" i="39"/>
  <c r="B14" i="39"/>
  <c r="BC215" i="39"/>
  <c r="AZ212" i="39"/>
  <c r="BC195" i="39"/>
  <c r="V26" i="6"/>
  <c r="AU241" i="39"/>
  <c r="AZ188" i="39"/>
  <c r="AZ336" i="39"/>
  <c r="AR211" i="39"/>
  <c r="AQ117" i="39"/>
  <c r="AU319" i="39"/>
  <c r="AR269" i="39"/>
  <c r="BB185" i="39"/>
  <c r="BB239" i="39"/>
  <c r="B160" i="39"/>
  <c r="BC283" i="39"/>
  <c r="AZ199" i="39"/>
  <c r="AZ308" i="39"/>
  <c r="BB181" i="39"/>
  <c r="AR93" i="39"/>
  <c r="AZ281" i="39"/>
  <c r="AZ139" i="39"/>
  <c r="AU187" i="39"/>
  <c r="AR154" i="39"/>
  <c r="AQ109" i="39"/>
  <c r="V46" i="6"/>
  <c r="AZ202" i="39"/>
  <c r="AQ246" i="39"/>
  <c r="AZ102" i="39"/>
  <c r="AR168" i="39"/>
  <c r="B308" i="39"/>
  <c r="AU149" i="39"/>
  <c r="AR17" i="39"/>
  <c r="B124" i="39"/>
  <c r="AU214" i="39"/>
  <c r="B217" i="39"/>
  <c r="AR140" i="39"/>
  <c r="AR151" i="39"/>
  <c r="BC118" i="39"/>
  <c r="AQ239" i="39"/>
  <c r="BJ225" i="39"/>
  <c r="AQ16" i="39"/>
  <c r="BB190" i="39"/>
  <c r="B81" i="39"/>
  <c r="AR173" i="39"/>
  <c r="BC73" i="39"/>
  <c r="B86" i="39"/>
  <c r="AZ302" i="39"/>
  <c r="B13" i="39"/>
  <c r="AU132" i="39"/>
  <c r="B119" i="39"/>
  <c r="AZ43" i="39"/>
  <c r="BC151" i="39"/>
  <c r="AR319" i="39"/>
  <c r="BC49" i="39"/>
  <c r="B150" i="39"/>
  <c r="BJ100" i="39"/>
  <c r="BC261" i="39"/>
  <c r="AU336" i="39"/>
  <c r="AU79" i="39"/>
  <c r="B123" i="39"/>
  <c r="BJ300" i="39"/>
  <c r="BC19" i="39"/>
  <c r="AU80" i="39"/>
  <c r="AZ223" i="39"/>
  <c r="BC48" i="39"/>
  <c r="BB191" i="39"/>
  <c r="BJ258" i="39"/>
  <c r="AR250" i="39"/>
  <c r="BB126" i="39"/>
  <c r="AZ328" i="39"/>
  <c r="AQ270" i="39"/>
  <c r="AU283" i="39"/>
  <c r="BC86" i="39"/>
  <c r="AQ77" i="39"/>
  <c r="BJ215" i="39"/>
  <c r="AU243" i="39"/>
  <c r="AQ305" i="39"/>
  <c r="AR249" i="39"/>
  <c r="B188" i="39"/>
  <c r="BJ45" i="39"/>
  <c r="BC183" i="39"/>
  <c r="BC293" i="39"/>
  <c r="AQ132" i="39"/>
  <c r="BC76" i="39"/>
  <c r="AU110" i="39"/>
  <c r="AR236" i="39"/>
  <c r="AR222" i="39"/>
  <c r="AQ96" i="39"/>
  <c r="AQ108" i="39"/>
  <c r="AU95" i="39"/>
  <c r="BB99" i="39"/>
  <c r="AR188" i="39"/>
  <c r="AU141" i="39"/>
  <c r="AZ160" i="39"/>
  <c r="AZ70" i="39"/>
  <c r="AR270" i="39"/>
  <c r="AZ107" i="39"/>
  <c r="AR134" i="39"/>
  <c r="BC116" i="39"/>
  <c r="BB38" i="39"/>
  <c r="B207" i="39"/>
  <c r="AR201" i="39"/>
  <c r="AR299" i="39"/>
  <c r="BB167" i="39"/>
  <c r="B45" i="39"/>
  <c r="AZ159" i="39"/>
  <c r="BC252" i="39"/>
  <c r="AQ129" i="39"/>
  <c r="AZ44" i="39"/>
  <c r="AR89" i="39"/>
  <c r="BB180" i="39"/>
  <c r="AU223" i="39"/>
  <c r="AQ298" i="39"/>
  <c r="AU77" i="39"/>
  <c r="V33" i="6"/>
  <c r="AQ336" i="39"/>
  <c r="AR229" i="39"/>
  <c r="BJ102" i="39"/>
  <c r="B137" i="39"/>
  <c r="AU197" i="39"/>
  <c r="B224" i="39"/>
  <c r="BB333" i="39"/>
  <c r="BC208" i="39"/>
  <c r="BC286" i="39"/>
  <c r="AQ38" i="39"/>
  <c r="AU116" i="39"/>
  <c r="BJ181" i="39"/>
  <c r="AR46" i="39"/>
  <c r="BJ303" i="39"/>
  <c r="BJ103" i="39"/>
  <c r="AU165" i="39"/>
  <c r="V49" i="6"/>
  <c r="AZ194" i="39"/>
  <c r="BB169" i="39"/>
  <c r="BB339" i="39"/>
  <c r="BJ208" i="39"/>
  <c r="AQ291" i="39"/>
  <c r="AU239" i="39"/>
  <c r="AR174" i="39"/>
  <c r="AQ156" i="39"/>
  <c r="BJ267" i="39"/>
  <c r="V22" i="6"/>
  <c r="BB340" i="39"/>
  <c r="AU108" i="39"/>
  <c r="B134" i="39"/>
  <c r="BB187" i="39"/>
  <c r="AR85" i="39"/>
  <c r="AR303" i="39"/>
  <c r="BJ162" i="39"/>
  <c r="BJ121" i="39"/>
  <c r="V39" i="6"/>
  <c r="BJ294" i="39"/>
  <c r="BB300" i="39"/>
  <c r="AQ289" i="39"/>
  <c r="B280" i="39"/>
  <c r="AZ148" i="39"/>
  <c r="BJ69" i="39"/>
  <c r="AR14" i="39"/>
  <c r="BB43" i="39"/>
  <c r="AZ289" i="39"/>
  <c r="BJ40" i="39"/>
  <c r="BC308" i="39"/>
  <c r="AZ77" i="39"/>
  <c r="AQ98" i="39"/>
  <c r="B143" i="39"/>
  <c r="AU328" i="39"/>
  <c r="AZ301" i="39"/>
  <c r="BB328" i="39"/>
  <c r="AQ236" i="39"/>
  <c r="AR186" i="39"/>
  <c r="BB159" i="39"/>
  <c r="AZ40" i="39"/>
  <c r="B340" i="39"/>
  <c r="BC242" i="39"/>
  <c r="BB207" i="39"/>
  <c r="B41" i="39"/>
  <c r="BC300" i="39"/>
  <c r="AQ328" i="39"/>
  <c r="AR41" i="39"/>
  <c r="BJ221" i="39"/>
  <c r="BJ73" i="39"/>
  <c r="AQ175" i="39"/>
  <c r="AZ132" i="39"/>
  <c r="AQ150" i="39"/>
  <c r="AQ335" i="39"/>
  <c r="BC292" i="39"/>
  <c r="AR325" i="39"/>
  <c r="AQ40" i="39"/>
  <c r="BJ325" i="39"/>
  <c r="BC218" i="39"/>
  <c r="AQ203" i="39"/>
  <c r="B212" i="39"/>
  <c r="AQ224" i="39"/>
  <c r="AQ219" i="39"/>
  <c r="BB162" i="39"/>
  <c r="BJ124" i="39"/>
  <c r="AU219" i="39"/>
  <c r="BC225" i="39"/>
  <c r="B231" i="39"/>
  <c r="BC43" i="39"/>
  <c r="BC318" i="39"/>
  <c r="AU85" i="39"/>
  <c r="BC214" i="39"/>
  <c r="AR215" i="39"/>
  <c r="BJ173" i="39"/>
  <c r="BC250" i="39"/>
  <c r="BC338" i="39"/>
  <c r="AR96" i="39"/>
  <c r="AU298" i="39"/>
  <c r="AU216" i="39"/>
  <c r="BB42" i="39"/>
  <c r="AU73" i="39"/>
  <c r="AU188" i="39"/>
  <c r="BB80" i="39"/>
  <c r="BC182" i="39"/>
  <c r="AU254" i="39"/>
  <c r="BB232" i="39"/>
  <c r="B107" i="39"/>
  <c r="BC44" i="39"/>
  <c r="AZ323" i="39"/>
  <c r="BB231" i="39"/>
  <c r="B299" i="39"/>
  <c r="AU170" i="39"/>
  <c r="BJ184" i="39"/>
  <c r="B241" i="39"/>
  <c r="AQ44" i="39"/>
  <c r="BB262" i="39"/>
  <c r="AU303" i="39"/>
  <c r="BC109" i="39"/>
  <c r="AQ159" i="39"/>
  <c r="BJ167" i="39"/>
  <c r="BC168" i="39"/>
  <c r="AU250" i="39"/>
  <c r="BB41" i="39"/>
  <c r="AZ270" i="39"/>
  <c r="AZ37" i="39"/>
  <c r="AQ87" i="39"/>
  <c r="BB220" i="39"/>
  <c r="BJ311" i="39"/>
  <c r="BC247" i="39"/>
  <c r="BC237" i="39"/>
  <c r="BC219" i="39"/>
  <c r="AQ161" i="39"/>
  <c r="AU90" i="39"/>
  <c r="AZ312" i="39"/>
  <c r="AR12" i="39"/>
  <c r="BJ333" i="39"/>
  <c r="AZ45" i="39"/>
  <c r="AU123" i="39"/>
  <c r="AR109" i="39"/>
  <c r="BC160" i="39"/>
  <c r="AZ208" i="39"/>
  <c r="B302" i="39"/>
  <c r="BB292" i="39"/>
  <c r="B338" i="39"/>
  <c r="AQ188" i="39"/>
  <c r="AR285" i="39"/>
  <c r="AR223" i="39"/>
  <c r="B298" i="39"/>
  <c r="BC221" i="39"/>
  <c r="AQ111" i="39"/>
  <c r="BC71" i="39"/>
  <c r="BJ224" i="39"/>
  <c r="BB224" i="39"/>
  <c r="BJ199" i="39"/>
  <c r="AZ111" i="39"/>
  <c r="B78" i="39"/>
  <c r="AR129" i="39"/>
  <c r="AZ203" i="39"/>
  <c r="AZ339" i="39"/>
  <c r="AZ326" i="39"/>
  <c r="B317" i="39"/>
  <c r="BC191" i="39"/>
  <c r="AZ204" i="39"/>
  <c r="AZ242" i="39"/>
  <c r="AQ95" i="39"/>
  <c r="BC298" i="39"/>
  <c r="AZ310" i="39"/>
  <c r="AQ90" i="39"/>
  <c r="AU185" i="39"/>
  <c r="AU302" i="39"/>
  <c r="BC269" i="39"/>
  <c r="BJ198" i="39"/>
  <c r="AZ149" i="39"/>
  <c r="BJ41" i="39"/>
  <c r="AQ148" i="39"/>
  <c r="AQ331" i="39"/>
  <c r="B288" i="39"/>
  <c r="AU47" i="39"/>
  <c r="BC223" i="39"/>
  <c r="AU140" i="39"/>
  <c r="B64" i="39"/>
  <c r="AQ135" i="39"/>
  <c r="B203" i="39"/>
  <c r="AZ322" i="39"/>
  <c r="AQ208" i="39"/>
  <c r="B313" i="39"/>
  <c r="BC36" i="39"/>
  <c r="BC143" i="39"/>
  <c r="AU119" i="39"/>
  <c r="AU179" i="39"/>
  <c r="BB108" i="39"/>
  <c r="BC185" i="39"/>
  <c r="AU111" i="39"/>
  <c r="AZ305" i="39"/>
  <c r="AR184" i="39"/>
  <c r="BJ111" i="39"/>
  <c r="AU225" i="39"/>
  <c r="AQ217" i="39"/>
  <c r="BJ263" i="39"/>
  <c r="BJ142" i="39"/>
  <c r="AR220" i="39"/>
  <c r="BB222" i="39"/>
  <c r="AR195" i="39"/>
  <c r="AQ139" i="39"/>
  <c r="B99" i="39"/>
  <c r="BC260" i="39"/>
  <c r="AQ268" i="39"/>
  <c r="BJ79" i="39"/>
  <c r="AQ213" i="39"/>
  <c r="AQ193" i="39"/>
  <c r="B146" i="39"/>
  <c r="BJ207" i="39"/>
  <c r="AQ214" i="39"/>
  <c r="AU186" i="39"/>
  <c r="AR246" i="39"/>
  <c r="BC243" i="39"/>
  <c r="AR102" i="39"/>
  <c r="AZ126" i="39"/>
  <c r="AU14" i="39"/>
  <c r="AZ187" i="39"/>
  <c r="AR15" i="39"/>
  <c r="BJ78" i="39"/>
  <c r="AR190" i="39"/>
  <c r="BJ262" i="39"/>
  <c r="AR191" i="39"/>
  <c r="B181" i="39"/>
  <c r="AQ310" i="39"/>
  <c r="V25" i="6"/>
  <c r="BB156" i="39"/>
  <c r="AQ43" i="39"/>
  <c r="AU333" i="39"/>
  <c r="B178" i="39"/>
  <c r="BJ110" i="39"/>
  <c r="BB298" i="39"/>
  <c r="B220" i="39"/>
  <c r="B221" i="39"/>
  <c r="BB325" i="39"/>
  <c r="BB236" i="39"/>
  <c r="AZ249" i="39"/>
  <c r="AQ250" i="39"/>
  <c r="BJ336" i="39"/>
  <c r="AZ41" i="39"/>
  <c r="BJ170" i="39"/>
  <c r="AU49" i="39"/>
  <c r="AQ160" i="39"/>
  <c r="AZ90" i="39"/>
  <c r="AU41" i="39"/>
  <c r="AU260" i="39"/>
  <c r="B187" i="39"/>
  <c r="BC267" i="39"/>
  <c r="AQ223" i="39"/>
  <c r="AR40" i="39"/>
  <c r="AR103" i="39"/>
  <c r="AR187" i="39"/>
  <c r="AZ303" i="39"/>
  <c r="AR295" i="39"/>
  <c r="AU174" i="39"/>
  <c r="AQ337" i="39"/>
  <c r="AU322" i="39"/>
  <c r="BJ216" i="39"/>
  <c r="AR99" i="39"/>
  <c r="AU191" i="39"/>
  <c r="AU154" i="39"/>
  <c r="BB86" i="39"/>
  <c r="BJ153" i="39"/>
  <c r="B218" i="39"/>
  <c r="B285" i="39"/>
  <c r="BB150" i="39"/>
  <c r="AQ155" i="39"/>
  <c r="BB204" i="39"/>
  <c r="BC213" i="39"/>
  <c r="AR335" i="39"/>
  <c r="BB17" i="39"/>
  <c r="AU156" i="39"/>
  <c r="AR117" i="39"/>
  <c r="AZ236" i="39"/>
  <c r="B318" i="39"/>
  <c r="BB299" i="39"/>
  <c r="BB77" i="39"/>
  <c r="BC41" i="39"/>
  <c r="AZ299" i="39"/>
  <c r="B40" i="39"/>
  <c r="BB203" i="39"/>
  <c r="AR324" i="39"/>
  <c r="AQ84" i="39"/>
  <c r="AZ232" i="39"/>
  <c r="V29" i="6"/>
  <c r="B336" i="39"/>
  <c r="AU339" i="39"/>
  <c r="BB303" i="39"/>
  <c r="AU208" i="39"/>
  <c r="BB182" i="39"/>
  <c r="AQ185" i="39"/>
  <c r="AU299" i="39"/>
  <c r="AR336" i="39"/>
  <c r="BB40" i="39"/>
  <c r="AZ110" i="39"/>
  <c r="AZ205" i="39"/>
  <c r="B300" i="39"/>
  <c r="BB247" i="39"/>
  <c r="BJ123" i="39"/>
  <c r="B225" i="39"/>
  <c r="AQ115" i="39"/>
  <c r="AR237" i="39"/>
  <c r="BB188" i="39"/>
  <c r="AZ318" i="39"/>
  <c r="BJ47" i="39"/>
  <c r="AZ256" i="39"/>
  <c r="AZ215" i="39"/>
  <c r="BJ164" i="39"/>
  <c r="BJ108" i="39"/>
  <c r="AZ74" i="39"/>
  <c r="AZ306" i="39"/>
  <c r="AZ17" i="39"/>
  <c r="AZ271" i="39"/>
  <c r="BB254" i="39"/>
  <c r="AU249" i="39"/>
  <c r="BB76" i="39"/>
  <c r="B323" i="39"/>
  <c r="B334" i="39"/>
  <c r="AR281" i="39"/>
  <c r="BC339" i="39"/>
  <c r="AU262" i="39"/>
  <c r="AR245" i="39"/>
  <c r="AR218" i="39"/>
  <c r="BJ36" i="39"/>
  <c r="AU224" i="39"/>
  <c r="BJ222" i="39"/>
  <c r="AZ238" i="39"/>
  <c r="B193" i="39"/>
  <c r="AQ172" i="39"/>
  <c r="AZ108" i="39"/>
  <c r="AQ171" i="39"/>
  <c r="AU255" i="39"/>
  <c r="AR330" i="39"/>
  <c r="B106" i="39"/>
  <c r="BB201" i="39"/>
  <c r="AZ225" i="39"/>
  <c r="BC165" i="39"/>
  <c r="BC68" i="39"/>
  <c r="AZ201" i="39"/>
  <c r="BJ155" i="39"/>
  <c r="BB186" i="39"/>
  <c r="AQ168" i="39"/>
  <c r="AZ170" i="39"/>
  <c r="AQ293" i="39"/>
  <c r="BB155" i="39"/>
  <c r="AQ245" i="39"/>
  <c r="B73" i="39"/>
  <c r="AZ122" i="39"/>
  <c r="AU226" i="39"/>
  <c r="AQ321" i="39"/>
  <c r="AQ323" i="39"/>
  <c r="AZ298" i="39"/>
  <c r="BB214" i="39"/>
  <c r="AR158" i="39"/>
  <c r="BJ245" i="39"/>
  <c r="AU232" i="39"/>
  <c r="AQ114" i="39"/>
  <c r="AQ302" i="39"/>
  <c r="AQ263" i="39"/>
  <c r="AU19" i="39"/>
  <c r="BB14" i="39"/>
  <c r="BC332" i="39"/>
  <c r="BC90" i="39"/>
  <c r="AR169" i="39"/>
  <c r="B110" i="39"/>
  <c r="AR128" i="39"/>
  <c r="B339" i="39"/>
  <c r="B132" i="39"/>
  <c r="AR175" i="39"/>
  <c r="BB184" i="39"/>
  <c r="BB149" i="39"/>
  <c r="BC95" i="39"/>
  <c r="AU259" i="39"/>
  <c r="AZ218" i="39"/>
  <c r="AR260" i="39"/>
  <c r="AQ42" i="39"/>
  <c r="AR221" i="39"/>
  <c r="BB260" i="39"/>
  <c r="AZ332" i="39"/>
  <c r="BB109" i="39"/>
  <c r="BJ163" i="39"/>
  <c r="AR68" i="39"/>
  <c r="BJ219" i="39"/>
  <c r="AU17" i="39"/>
  <c r="B292" i="39"/>
  <c r="AQ301" i="39"/>
  <c r="BC323" i="39"/>
  <c r="AQ262" i="39"/>
  <c r="AQ41" i="39"/>
  <c r="AR142" i="39"/>
  <c r="BJ109" i="39"/>
  <c r="AR43" i="39"/>
  <c r="AQ330" i="39"/>
  <c r="BB140" i="39"/>
  <c r="AQ190" i="39"/>
  <c r="BJ107" i="39"/>
  <c r="BC66" i="39"/>
  <c r="B171" i="39"/>
  <c r="AU171" i="39"/>
  <c r="BC217" i="39"/>
  <c r="BB128" i="39"/>
  <c r="V48" i="6"/>
  <c r="AU301" i="39"/>
  <c r="B185" i="39"/>
  <c r="AZ112" i="39"/>
  <c r="BJ323" i="39"/>
  <c r="AQ198" i="39"/>
  <c r="BJ44" i="39"/>
  <c r="AQ232" i="39"/>
  <c r="AR125" i="39"/>
  <c r="BC38" i="39"/>
  <c r="BJ97" i="39"/>
  <c r="AZ164" i="39"/>
  <c r="B242" i="39"/>
  <c r="B130" i="39"/>
  <c r="BJ213" i="39"/>
  <c r="BJ201" i="39"/>
  <c r="AQ94" i="39"/>
  <c r="AQ317" i="39"/>
  <c r="AR261" i="39"/>
  <c r="AU326" i="39"/>
  <c r="BC301" i="39"/>
  <c r="BB218" i="39"/>
  <c r="AU329" i="39"/>
  <c r="AU106" i="39"/>
  <c r="B37" i="39"/>
  <c r="AQ286" i="39"/>
  <c r="B114" i="39"/>
  <c r="AZ224" i="39"/>
  <c r="BJ218" i="39"/>
  <c r="BJ330" i="39"/>
  <c r="AR252" i="39"/>
  <c r="AR50" i="39"/>
  <c r="AZ182" i="39"/>
  <c r="B121" i="39"/>
  <c r="AU212" i="39"/>
  <c r="V47" i="6"/>
  <c r="B179" i="39"/>
  <c r="AU220" i="39"/>
  <c r="AR111" i="39"/>
  <c r="AR337" i="39"/>
  <c r="BC40" i="39"/>
  <c r="B154" i="39"/>
  <c r="AQ249" i="39"/>
  <c r="AU124" i="39"/>
  <c r="AU13" i="39"/>
  <c r="BB144" i="39"/>
  <c r="AQ340" i="39"/>
  <c r="AZ319" i="39"/>
  <c r="BB146" i="39"/>
  <c r="AR77" i="39"/>
  <c r="BB164" i="39"/>
  <c r="AR122" i="39"/>
  <c r="BJ246" i="39"/>
  <c r="BC89" i="39"/>
  <c r="BC105" i="39"/>
  <c r="AR165" i="39"/>
  <c r="AQ110" i="39"/>
  <c r="BJ331" i="39"/>
  <c r="BB268" i="39"/>
  <c r="AQ138" i="39"/>
  <c r="B174" i="39"/>
  <c r="B333" i="39"/>
  <c r="B100" i="39"/>
  <c r="BJ302" i="39"/>
  <c r="B153" i="39"/>
  <c r="AQ207" i="39"/>
  <c r="B85" i="39"/>
  <c r="B307" i="39"/>
  <c r="AQ105" i="39"/>
  <c r="BB102" i="39"/>
  <c r="BB154" i="39"/>
  <c r="AZ217" i="39"/>
  <c r="AR208" i="39"/>
  <c r="B46" i="39"/>
  <c r="AU155" i="39"/>
  <c r="BB215" i="39"/>
  <c r="BJ106" i="39"/>
  <c r="BJ340" i="39"/>
  <c r="AR131" i="39"/>
  <c r="AQ118" i="39"/>
  <c r="BB124" i="39"/>
  <c r="AQ199" i="39"/>
  <c r="AZ151" i="39"/>
  <c r="AZ288" i="39"/>
  <c r="AU215" i="39"/>
  <c r="V45" i="6"/>
  <c r="BC299" i="39"/>
  <c r="AU122" i="39"/>
  <c r="AQ149" i="39"/>
  <c r="BB172" i="39"/>
  <c r="BC288" i="39"/>
  <c r="B112" i="39"/>
  <c r="AR138" i="39"/>
  <c r="AU291" i="39"/>
  <c r="AZ221" i="39"/>
  <c r="AZ83" i="39"/>
  <c r="AU268" i="39"/>
  <c r="AZ147" i="39"/>
  <c r="BJ119" i="39"/>
  <c r="AU83" i="39"/>
  <c r="AZ36" i="39"/>
  <c r="AZ50" i="39"/>
  <c r="BJ321" i="39"/>
  <c r="BC152" i="39"/>
  <c r="B84" i="39"/>
  <c r="AZ258" i="39"/>
  <c r="AQ196" i="39"/>
  <c r="AR298" i="39"/>
  <c r="AU190" i="39"/>
  <c r="BC188" i="39"/>
  <c r="B303" i="39"/>
  <c r="AZ180" i="39"/>
  <c r="BB251" i="39"/>
  <c r="BJ18" i="39"/>
  <c r="BC169" i="39"/>
  <c r="BJ194" i="39"/>
  <c r="BJ220" i="39"/>
  <c r="BJ114" i="39"/>
  <c r="BC230" i="39"/>
  <c r="BB112" i="39"/>
  <c r="AQ99" i="39"/>
  <c r="AQ320" i="39"/>
  <c r="AZ324" i="39"/>
  <c r="AU198" i="39"/>
  <c r="AU295" i="39"/>
  <c r="B330" i="39"/>
  <c r="BJ180" i="39"/>
  <c r="AZ129" i="39"/>
  <c r="BC80" i="39"/>
  <c r="AR39" i="39"/>
  <c r="BC139" i="39"/>
  <c r="BJ238" i="39"/>
  <c r="BB330" i="39"/>
  <c r="AU43" i="39"/>
  <c r="AQ163" i="39"/>
  <c r="AZ18" i="39"/>
  <c r="B208" i="39"/>
  <c r="B77" i="39"/>
  <c r="BC147" i="39"/>
  <c r="AQ260" i="39"/>
  <c r="AU292" i="39"/>
  <c r="BJ138" i="39"/>
  <c r="AQ123" i="39"/>
  <c r="B122" i="39"/>
  <c r="BC311" i="39"/>
  <c r="BJ130" i="39"/>
  <c r="AR226" i="39"/>
  <c r="V31" i="6"/>
  <c r="AU280" i="39"/>
  <c r="AU330" i="39"/>
  <c r="BJ80" i="39"/>
  <c r="B155" i="39"/>
  <c r="B70" i="39"/>
  <c r="BJ117" i="39"/>
  <c r="AZ128" i="39"/>
  <c r="BJ81" i="39"/>
  <c r="AQ292" i="39"/>
  <c r="AQ324" i="39"/>
  <c r="BC329" i="39"/>
  <c r="AZ42" i="39"/>
  <c r="BJ317" i="39"/>
  <c r="BB70" i="39"/>
  <c r="AR70" i="39"/>
  <c r="AZ280" i="39"/>
  <c r="BJ148" i="39"/>
  <c r="BB302" i="39"/>
  <c r="AU81" i="39"/>
  <c r="BJ237" i="39"/>
  <c r="B205" i="39"/>
  <c r="BC226" i="39"/>
  <c r="BB241" i="39"/>
  <c r="AQ80" i="39"/>
  <c r="AU99" i="39"/>
  <c r="AQ142" i="39"/>
  <c r="B337" i="39"/>
  <c r="BB158" i="39"/>
  <c r="B328" i="39"/>
  <c r="AQ39" i="39"/>
  <c r="BJ77" i="39"/>
  <c r="AQ78" i="39"/>
  <c r="B128" i="39"/>
  <c r="BC220" i="39"/>
  <c r="V32" i="6"/>
  <c r="AR172" i="39"/>
  <c r="BB48" i="39"/>
  <c r="AR259" i="39"/>
  <c r="AR214" i="39"/>
  <c r="AQ76" i="39"/>
  <c r="B214" i="39"/>
  <c r="B87" i="39"/>
  <c r="AR47" i="39"/>
  <c r="BC231" i="39"/>
  <c r="AZ311" i="39"/>
  <c r="BB115" i="39"/>
  <c r="BB134" i="39"/>
  <c r="B116" i="39"/>
  <c r="AZ222" i="39"/>
  <c r="BB281" i="39"/>
  <c r="AR150" i="39"/>
  <c r="AU181" i="39"/>
  <c r="AR258" i="39"/>
  <c r="B118" i="39"/>
  <c r="B255" i="39"/>
  <c r="AQ71" i="39"/>
  <c r="AR230" i="39"/>
  <c r="BC77" i="39"/>
  <c r="AR317" i="39"/>
  <c r="B165" i="39"/>
  <c r="BC42" i="39"/>
  <c r="AR293" i="39"/>
  <c r="AU240" i="39"/>
  <c r="BJ202" i="39"/>
  <c r="AR108" i="39"/>
  <c r="AZ325" i="39"/>
  <c r="AR291" i="39"/>
  <c r="AU340" i="39"/>
  <c r="BC78" i="39"/>
  <c r="BJ217" i="39"/>
  <c r="AZ243" i="39"/>
  <c r="AU196" i="39"/>
  <c r="B152" i="39"/>
  <c r="BB163" i="39"/>
  <c r="AZ262" i="39"/>
  <c r="BC291" i="39"/>
  <c r="BC192" i="39"/>
  <c r="AZ73" i="39"/>
  <c r="BB321" i="39"/>
  <c r="AU184" i="39"/>
  <c r="BB259" i="39"/>
  <c r="BJ280" i="39"/>
  <c r="B98" i="39"/>
  <c r="B228" i="39"/>
  <c r="AQ332" i="39"/>
  <c r="AR123" i="39"/>
  <c r="B36" i="39"/>
  <c r="AQ303" i="39"/>
  <c r="AR262" i="39"/>
  <c r="BC187" i="39"/>
  <c r="AU64" i="39"/>
  <c r="AU70" i="39"/>
  <c r="BB256" i="39"/>
  <c r="AU103" i="39"/>
  <c r="AZ106" i="39"/>
  <c r="BJ74" i="39"/>
  <c r="BC310" i="39"/>
  <c r="B261" i="39"/>
  <c r="AR66" i="39"/>
  <c r="AQ254" i="39"/>
  <c r="AU317" i="39"/>
  <c r="B267" i="39"/>
  <c r="AQ173" i="39"/>
  <c r="AZ78" i="39"/>
  <c r="BB294" i="39"/>
  <c r="BB320" i="39"/>
  <c r="AU121" i="39"/>
  <c r="AU258" i="39"/>
  <c r="BC320" i="39"/>
  <c r="BB319" i="39"/>
  <c r="AZ285" i="39"/>
  <c r="AU218" i="39"/>
  <c r="BJ88" i="39"/>
  <c r="BB225" i="39"/>
  <c r="AQ261" i="39"/>
  <c r="B295" i="39"/>
  <c r="AZ156" i="39"/>
  <c r="BC190" i="39"/>
  <c r="AZ261" i="39"/>
  <c r="AQ103" i="39"/>
  <c r="AQ65" i="39"/>
  <c r="AQ131" i="39"/>
  <c r="BJ223" i="39"/>
  <c r="BB301" i="39"/>
  <c r="BC211" i="39"/>
  <c r="AU148" i="39"/>
  <c r="AR334" i="39"/>
  <c r="BC200" i="39"/>
  <c r="AR49" i="39"/>
  <c r="V28" i="6"/>
  <c r="AQ19" i="39"/>
  <c r="B269" i="39"/>
  <c r="BB88" i="39"/>
  <c r="BJ285" i="39"/>
  <c r="BJ313" i="39"/>
  <c r="AZ176" i="39"/>
  <c r="AQ121" i="39"/>
  <c r="B246" i="39"/>
  <c r="BB111" i="39"/>
  <c r="AU231" i="39"/>
  <c r="BC140" i="39"/>
  <c r="BB331" i="39"/>
  <c r="B201" i="39"/>
  <c r="BB64" i="39"/>
  <c r="B180" i="39"/>
  <c r="BC317" i="39"/>
  <c r="AU175" i="39"/>
  <c r="BC128" i="39"/>
  <c r="BC162" i="39"/>
  <c r="BB334" i="39"/>
  <c r="BB130" i="39"/>
  <c r="AZ337" i="39"/>
  <c r="AZ97" i="39"/>
  <c r="BB192" i="39"/>
  <c r="AQ306" i="39"/>
  <c r="BJ64" i="39"/>
  <c r="AZ64" i="39"/>
  <c r="BC131" i="39"/>
  <c r="AU324" i="39"/>
  <c r="BB176" i="39"/>
  <c r="B283" i="39"/>
  <c r="BC245" i="39"/>
  <c r="AZ142" i="39"/>
  <c r="BC37" i="39"/>
  <c r="AU313" i="39"/>
  <c r="AR225" i="39"/>
  <c r="AU245" i="39"/>
  <c r="AR321" i="39"/>
  <c r="BB246" i="39"/>
  <c r="AZ333" i="39"/>
  <c r="B111" i="39"/>
  <c r="AR320" i="39"/>
  <c r="AQ205" i="39"/>
  <c r="BB96" i="39"/>
  <c r="AR296" i="39"/>
  <c r="BB170" i="39"/>
  <c r="BJ152" i="39"/>
  <c r="BB87" i="39"/>
  <c r="AR224" i="39"/>
  <c r="BJ43" i="39"/>
  <c r="BJ84" i="39"/>
  <c r="BJ318" i="39"/>
  <c r="AR263" i="39"/>
  <c r="B108" i="39"/>
  <c r="AQ218" i="39"/>
  <c r="BJ240" i="39"/>
  <c r="AQ46" i="39"/>
  <c r="AZ89" i="39"/>
  <c r="AU74" i="39"/>
  <c r="AZ300" i="39"/>
  <c r="B50" i="39"/>
  <c r="AU144" i="39"/>
  <c r="AQ187" i="39"/>
  <c r="AZ117" i="39"/>
  <c r="AU94" i="39"/>
  <c r="BJ334" i="39"/>
  <c r="BJ93" i="39"/>
  <c r="BB179" i="39"/>
  <c r="AZ267" i="39"/>
  <c r="AR292" i="39"/>
  <c r="B226" i="39"/>
  <c r="BJ289" i="39"/>
  <c r="BB194" i="39"/>
  <c r="AQ221" i="39"/>
  <c r="BJ242" i="39"/>
  <c r="AQ134" i="39"/>
  <c r="BB65" i="39"/>
  <c r="AQ256" i="39"/>
  <c r="AQ164" i="39"/>
  <c r="AU308" i="39"/>
  <c r="AZ144" i="39"/>
  <c r="AR254" i="39"/>
  <c r="V37" i="6"/>
  <c r="BJ70" i="39"/>
  <c r="AZ155" i="39"/>
  <c r="BC181" i="39"/>
  <c r="AR241" i="39"/>
  <c r="BC174" i="39"/>
  <c r="AZ293" i="39"/>
  <c r="BB296" i="39"/>
  <c r="AR95" i="39"/>
  <c r="AU18" i="39"/>
  <c r="AR271" i="39"/>
  <c r="B148" i="39"/>
  <c r="AZ331" i="39"/>
  <c r="AR232" i="39"/>
  <c r="AR80" i="39"/>
  <c r="B245" i="39"/>
  <c r="AR267" i="39"/>
  <c r="B301" i="39"/>
  <c r="AU318" i="39"/>
  <c r="AQ116" i="39"/>
  <c r="BC222" i="39"/>
  <c r="BB122" i="39"/>
  <c r="AU288" i="39"/>
  <c r="AQ225" i="39"/>
  <c r="BJ196" i="39"/>
  <c r="AU286" i="39"/>
  <c r="B167" i="39"/>
  <c r="AQ283" i="39"/>
  <c r="AR162" i="39"/>
  <c r="AR192" i="39"/>
  <c r="BB16" i="39"/>
  <c r="BJ125" i="39"/>
  <c r="BC201" i="39"/>
  <c r="AR231" i="39"/>
  <c r="BJ13" i="39"/>
  <c r="AQ184" i="39"/>
  <c r="AQ176" i="39"/>
  <c r="AZ66" i="39"/>
  <c r="BJ337" i="39"/>
  <c r="BJ192" i="39"/>
  <c r="BJ250" i="39"/>
  <c r="BJ299" i="39"/>
  <c r="AR217" i="39"/>
  <c r="B236" i="39"/>
  <c r="B286" i="39"/>
  <c r="B161" i="39"/>
  <c r="AQ300" i="39"/>
  <c r="AQ169" i="39"/>
  <c r="B109" i="39"/>
  <c r="AR167" i="39"/>
  <c r="AU48" i="39"/>
  <c r="AU46" i="39"/>
  <c r="BB37" i="39"/>
  <c r="AZ116" i="39"/>
  <c r="BB291" i="39"/>
  <c r="AZ313" i="39"/>
  <c r="AZ220" i="39"/>
  <c r="BB131" i="39"/>
  <c r="AU164" i="39"/>
  <c r="BB245" i="39"/>
  <c r="B192" i="39"/>
  <c r="B49" i="39"/>
  <c r="AR110" i="39"/>
  <c r="BB271" i="39"/>
  <c r="BC148" i="39"/>
  <c r="BC324" i="39"/>
  <c r="AR71" i="39"/>
  <c r="AR308" i="39"/>
  <c r="BC321" i="39"/>
  <c r="BC134" i="39"/>
  <c r="B71" i="39"/>
  <c r="AQ37" i="39"/>
  <c r="AQ334" i="39"/>
  <c r="AU320" i="39"/>
  <c r="AQ258" i="39"/>
  <c r="B259" i="39"/>
  <c r="B200" i="39"/>
  <c r="BJ339" i="39"/>
  <c r="BB44" i="39"/>
  <c r="AZ263" i="39"/>
  <c r="BC196" i="39"/>
  <c r="AU207" i="39"/>
  <c r="AR90" i="39"/>
  <c r="AR181" i="39"/>
  <c r="BC142" i="39"/>
  <c r="AU337" i="39"/>
  <c r="BJ99" i="39"/>
  <c r="AQ339" i="39"/>
  <c r="AZ286" i="39"/>
  <c r="AZ321" i="39"/>
  <c r="BC212" i="39"/>
  <c r="AU38" i="39"/>
  <c r="AQ48" i="39"/>
  <c r="AU158" i="39"/>
  <c r="BC85" i="39"/>
  <c r="AQ281" i="39"/>
  <c r="BB78" i="39"/>
  <c r="BJ320" i="39"/>
  <c r="AR289" i="39"/>
  <c r="AQ182" i="39"/>
  <c r="BC135" i="39"/>
  <c r="AR338" i="39"/>
  <c r="BC285" i="39"/>
  <c r="BB229" i="39"/>
  <c r="BC102" i="39"/>
  <c r="AU334" i="39"/>
  <c r="AR86" i="39"/>
  <c r="BC110" i="39"/>
  <c r="BJ140" i="39"/>
  <c r="AR164" i="39"/>
  <c r="AZ140" i="39"/>
  <c r="BB322" i="39"/>
  <c r="AZ165" i="39"/>
  <c r="AQ271" i="39"/>
  <c r="BJ115" i="39"/>
  <c r="V20" i="6"/>
  <c r="AZ171" i="39"/>
  <c r="AQ195" i="39"/>
  <c r="BC307" i="39"/>
  <c r="AR182" i="39"/>
  <c r="V41" i="6"/>
  <c r="AR207" i="39"/>
  <c r="BC294" i="39"/>
  <c r="AQ144" i="39"/>
  <c r="AZ239" i="39"/>
  <c r="AZ103" i="39"/>
  <c r="BJ335" i="39"/>
  <c r="BC322" i="39"/>
  <c r="BB50" i="39"/>
  <c r="BB165" i="39"/>
  <c r="AR329" i="39"/>
  <c r="AR183" i="39"/>
  <c r="B321" i="39"/>
  <c r="AZ259" i="39"/>
  <c r="BJ226" i="39"/>
  <c r="AU146" i="39"/>
  <c r="B294" i="39"/>
  <c r="AQ338" i="39"/>
  <c r="AZ241" i="39"/>
  <c r="AZ250" i="39"/>
  <c r="BB68" i="39"/>
  <c r="BC164" i="39"/>
  <c r="AR179" i="39"/>
  <c r="AZ167" i="39"/>
  <c r="BB46" i="39"/>
  <c r="AR105" i="39"/>
  <c r="V43" i="6"/>
  <c r="AZ130" i="39"/>
  <c r="AQ97" i="39"/>
  <c r="B89" i="39"/>
  <c r="BJ98" i="39"/>
  <c r="AR114" i="39"/>
  <c r="AQ194" i="39"/>
  <c r="BC170" i="39"/>
  <c r="BC289" i="39"/>
  <c r="AR141" i="39"/>
  <c r="BJ200" i="39"/>
  <c r="BB252" i="39"/>
  <c r="AR36" i="39"/>
  <c r="B140" i="39"/>
  <c r="BC12" i="39"/>
  <c r="BJ179" i="39"/>
  <c r="AU88" i="39"/>
  <c r="BB83" i="39"/>
  <c r="AQ180" i="39"/>
  <c r="BC154" i="39"/>
  <c r="AU305" i="39"/>
  <c r="B79" i="39"/>
  <c r="V23" i="6"/>
  <c r="BB119" i="39"/>
  <c r="BC17" i="39"/>
  <c r="BJ239" i="39"/>
  <c r="BC238" i="39"/>
  <c r="AZ181" i="39"/>
  <c r="B296" i="39"/>
  <c r="AU261" i="39"/>
  <c r="AU36" i="39"/>
  <c r="BB288" i="39"/>
  <c r="BB73" i="39"/>
  <c r="BC64" i="39"/>
  <c r="B17" i="39"/>
  <c r="AU195" i="39"/>
  <c r="AZ268" i="39"/>
  <c r="AQ86" i="39"/>
  <c r="AU37" i="39"/>
  <c r="AQ124" i="39"/>
  <c r="BC330" i="39"/>
  <c r="AZ46" i="39"/>
  <c r="AR124" i="39"/>
  <c r="B324" i="39"/>
  <c r="AZ193" i="39"/>
  <c r="AR119" i="39"/>
  <c r="AR155" i="39"/>
  <c r="BB12" i="39"/>
  <c r="AQ17" i="39"/>
  <c r="AQ251" i="39"/>
  <c r="B311" i="39"/>
  <c r="AZ179" i="39"/>
  <c r="AR202" i="39"/>
  <c r="AQ126" i="39"/>
  <c r="BC106" i="39"/>
  <c r="AU312" i="39"/>
  <c r="AR300" i="39"/>
  <c r="B232" i="39"/>
  <c r="AQ18" i="39"/>
  <c r="BC93" i="39"/>
  <c r="BC336" i="39"/>
  <c r="B158" i="39"/>
  <c r="AU296" i="39"/>
  <c r="AQ162" i="39"/>
  <c r="B268" i="39"/>
  <c r="BC262" i="39"/>
  <c r="BB329" i="39"/>
  <c r="B176" i="39"/>
  <c r="BB95" i="39"/>
  <c r="BJ308" i="39"/>
  <c r="BJ186" i="39"/>
  <c r="AU321" i="39"/>
  <c r="AU193" i="39"/>
  <c r="BB106" i="39"/>
  <c r="V34" i="6"/>
  <c r="AQ186" i="39"/>
  <c r="AU183" i="39"/>
  <c r="BC240" i="39"/>
  <c r="BJ83" i="39"/>
  <c r="BJ293" i="39"/>
  <c r="BJ96" i="39"/>
  <c r="AZ252" i="39"/>
  <c r="B306" i="39"/>
  <c r="B250" i="39"/>
  <c r="AU131" i="39"/>
  <c r="BC193" i="39"/>
  <c r="BC46" i="39"/>
  <c r="BJ66" i="39"/>
  <c r="AR149" i="39"/>
  <c r="BC331" i="39"/>
  <c r="AR199" i="39"/>
  <c r="AQ119" i="39"/>
  <c r="BC122" i="39"/>
  <c r="AU192" i="39"/>
  <c r="BC228" i="39"/>
  <c r="BB200" i="39"/>
  <c r="AZ295" i="39"/>
  <c r="AR212" i="39"/>
  <c r="BB263" i="39"/>
  <c r="AZ320" i="39"/>
  <c r="B331" i="39"/>
  <c r="AZ219" i="39"/>
  <c r="AR185" i="39"/>
  <c r="BJ122" i="39"/>
  <c r="BJ135" i="39"/>
  <c r="BJ89" i="39"/>
  <c r="B194" i="39"/>
  <c r="AR203" i="39"/>
  <c r="AZ87" i="39"/>
  <c r="AR294" i="39"/>
  <c r="BJ256" i="39"/>
  <c r="AU129" i="39"/>
  <c r="BB198" i="39"/>
  <c r="AZ137" i="39"/>
  <c r="B172" i="39"/>
  <c r="BJ19" i="39"/>
  <c r="AQ49" i="39"/>
  <c r="B105" i="39"/>
  <c r="AZ65" i="39"/>
  <c r="AU118" i="39"/>
  <c r="AQ247" i="39"/>
  <c r="AQ255" i="39"/>
  <c r="AR44" i="39"/>
  <c r="AZ80" i="39"/>
  <c r="AU96" i="39"/>
  <c r="BB226" i="39"/>
  <c r="B83" i="39"/>
  <c r="BB267" i="39"/>
  <c r="BB183" i="39"/>
  <c r="BB89" i="39"/>
  <c r="AU213" i="39"/>
  <c r="B115" i="39"/>
  <c r="AU211" i="39"/>
  <c r="BB110" i="39"/>
  <c r="AQ230" i="39"/>
  <c r="AU332" i="39"/>
  <c r="BJ65" i="39"/>
  <c r="AU180" i="39"/>
  <c r="AR13" i="39"/>
  <c r="B156" i="39"/>
  <c r="AR126" i="39"/>
  <c r="AZ230" i="39"/>
  <c r="AZ329" i="39"/>
  <c r="BC232" i="39"/>
  <c r="AQ222" i="39"/>
  <c r="BC39" i="39"/>
  <c r="AU217" i="39"/>
  <c r="BB36" i="39"/>
  <c r="BC178" i="39"/>
  <c r="BC125" i="39"/>
  <c r="AU137" i="39"/>
  <c r="BC199" i="39"/>
  <c r="AR65" i="39"/>
  <c r="B202" i="39"/>
  <c r="AZ200" i="39"/>
  <c r="AZ95" i="39"/>
  <c r="AQ137" i="39"/>
  <c r="AQ202" i="39"/>
  <c r="BC124" i="39"/>
  <c r="AU307" i="39"/>
  <c r="BC163" i="39"/>
  <c r="BC150" i="39"/>
  <c r="BC161" i="39"/>
  <c r="AZ178" i="39"/>
  <c r="AZ12" i="39"/>
  <c r="AR305" i="39"/>
  <c r="BB258" i="39"/>
  <c r="BJ158" i="39"/>
  <c r="BB286" i="39"/>
  <c r="AR326" i="39"/>
  <c r="AR198" i="39"/>
  <c r="AR219" i="39"/>
  <c r="AZ330" i="39"/>
  <c r="AR209" i="39"/>
  <c r="AQ50" i="39"/>
  <c r="B144" i="39"/>
  <c r="AR213" i="39"/>
  <c r="AQ299" i="39"/>
  <c r="BJ260" i="39"/>
  <c r="B117" i="39"/>
  <c r="BC114" i="39"/>
  <c r="AQ74" i="39"/>
  <c r="AZ211" i="39"/>
  <c r="AZ79" i="39"/>
  <c r="AR340" i="39"/>
  <c r="BC203" i="39"/>
  <c r="B237" i="39"/>
  <c r="AZ81" i="39"/>
  <c r="BJ292" i="39"/>
  <c r="BB326" i="39"/>
  <c r="BC83" i="39"/>
  <c r="AU205" i="39"/>
  <c r="AR283" i="39"/>
  <c r="BB261" i="39"/>
  <c r="AZ169" i="39"/>
  <c r="BJ176" i="39"/>
  <c r="BB336" i="39"/>
  <c r="BC335" i="39"/>
  <c r="BJ295" i="39"/>
  <c r="BJ168" i="39"/>
  <c r="B222" i="39"/>
  <c r="BB202" i="39"/>
  <c r="AR147" i="39"/>
  <c r="BB135" i="39"/>
  <c r="AU331" i="39"/>
  <c r="AZ335" i="39"/>
  <c r="AZ119" i="39"/>
  <c r="BB107" i="39"/>
  <c r="BC224" i="39"/>
  <c r="BB47" i="39"/>
  <c r="B131" i="39"/>
  <c r="AZ292" i="39"/>
  <c r="AZ86" i="39"/>
  <c r="BJ141" i="39"/>
  <c r="AQ288" i="39"/>
  <c r="BC138" i="39"/>
  <c r="AZ226" i="39"/>
  <c r="AZ47" i="39"/>
  <c r="BC146" i="39"/>
  <c r="BB160" i="39"/>
  <c r="BB121" i="39"/>
  <c r="AU135" i="39"/>
  <c r="AU323" i="39"/>
  <c r="AQ240" i="39"/>
  <c r="BC84" i="39"/>
  <c r="AU306" i="39"/>
  <c r="BC202" i="39"/>
  <c r="BC319" i="39"/>
  <c r="AR64" i="39"/>
  <c r="AU335" i="39"/>
  <c r="AR307" i="39"/>
  <c r="AQ242" i="39"/>
  <c r="AU222" i="39"/>
  <c r="AR135" i="39"/>
  <c r="B293" i="39"/>
  <c r="BJ16" i="39"/>
  <c r="AZ69" i="39"/>
  <c r="AR130" i="39"/>
  <c r="BB197" i="39"/>
  <c r="BB289" i="39"/>
  <c r="AU115" i="39"/>
  <c r="BC132" i="39"/>
  <c r="B216" i="39"/>
  <c r="AZ14" i="39"/>
  <c r="B209" i="39"/>
  <c r="AZ48" i="39"/>
  <c r="BJ165" i="39"/>
  <c r="B66" i="39"/>
  <c r="AU147" i="39"/>
  <c r="AR339" i="39"/>
  <c r="AQ14" i="39"/>
  <c r="AU87" i="39"/>
  <c r="BC99" i="39"/>
  <c r="BB81" i="39"/>
  <c r="BJ15" i="39"/>
  <c r="AR121" i="39"/>
  <c r="AU138" i="39"/>
  <c r="AU168" i="39"/>
  <c r="BJ268" i="39"/>
  <c r="BB242" i="39"/>
  <c r="AZ228" i="39"/>
  <c r="BB217" i="39"/>
  <c r="AR156" i="39"/>
  <c r="AU134" i="39"/>
  <c r="BC216" i="39"/>
  <c r="BC119" i="39"/>
  <c r="BJ172" i="39"/>
  <c r="AU200" i="39"/>
  <c r="BC87" i="39"/>
  <c r="AZ269" i="39"/>
  <c r="AQ237" i="39"/>
  <c r="BB66" i="39"/>
  <c r="BJ129" i="39"/>
  <c r="BB19" i="39"/>
  <c r="BB317" i="39"/>
  <c r="AU151" i="39"/>
  <c r="BJ86" i="39"/>
  <c r="BB18" i="39"/>
  <c r="BJ307" i="39"/>
  <c r="AZ134" i="39"/>
  <c r="BJ247" i="39"/>
  <c r="AU125" i="39"/>
  <c r="BC313" i="39"/>
  <c r="AQ181" i="39"/>
  <c r="BB139" i="39"/>
  <c r="BC155" i="39"/>
  <c r="B162" i="39"/>
  <c r="BC47" i="39"/>
  <c r="AR37" i="39"/>
  <c r="BC296" i="39"/>
  <c r="B260" i="39"/>
  <c r="AQ329" i="39"/>
  <c r="BC176" i="39"/>
  <c r="AR19" i="39"/>
  <c r="AQ151" i="39"/>
  <c r="BJ324" i="39"/>
  <c r="AZ307" i="39"/>
  <c r="AZ214" i="39"/>
  <c r="AR78" i="39"/>
  <c r="B190" i="39"/>
  <c r="BJ37" i="39"/>
  <c r="AU69" i="39"/>
  <c r="AQ211" i="39"/>
  <c r="BJ85" i="39"/>
  <c r="BB142" i="39"/>
  <c r="AU39" i="39"/>
  <c r="BJ147" i="39"/>
  <c r="AR194" i="39"/>
  <c r="B211" i="39"/>
  <c r="BJ306" i="39"/>
  <c r="AU114" i="39"/>
  <c r="AR144" i="39"/>
  <c r="BB311" i="39"/>
  <c r="BC50" i="39"/>
  <c r="BJ116" i="39"/>
  <c r="AR204" i="39"/>
  <c r="BB97" i="39"/>
  <c r="BB138" i="39"/>
  <c r="BC229" i="39"/>
  <c r="BB230" i="39"/>
  <c r="B94" i="39"/>
  <c r="AU128" i="39"/>
  <c r="AZ291" i="39"/>
  <c r="AU229" i="39"/>
  <c r="AU221" i="39"/>
  <c r="AZ207" i="39"/>
  <c r="BC144" i="39"/>
  <c r="BJ150" i="39"/>
  <c r="BJ298" i="39"/>
  <c r="AU142" i="39"/>
  <c r="BC204" i="39"/>
  <c r="AZ255" i="39"/>
  <c r="AZ190" i="39"/>
  <c r="BC295" i="39"/>
  <c r="AU40" i="39"/>
  <c r="BC340" i="39"/>
  <c r="AR238" i="39"/>
  <c r="AQ73" i="39"/>
  <c r="BB15" i="39"/>
  <c r="AQ179" i="39"/>
  <c r="B254" i="39"/>
  <c r="AZ317" i="39"/>
  <c r="BC334" i="39"/>
  <c r="BB338" i="39"/>
  <c r="B326" i="39"/>
  <c r="BJ139" i="39"/>
  <c r="AU66" i="39"/>
  <c r="B322" i="39"/>
  <c r="B239" i="39"/>
  <c r="B305" i="39"/>
  <c r="BJ229" i="39"/>
  <c r="AU285" i="39"/>
  <c r="BJ42" i="39"/>
  <c r="B74" i="39"/>
  <c r="AZ85" i="39"/>
  <c r="BC159" i="39"/>
  <c r="AU139" i="39"/>
  <c r="BB148" i="39"/>
  <c r="B249" i="39"/>
  <c r="BC171" i="39"/>
  <c r="BC129" i="39"/>
  <c r="AU89" i="39"/>
  <c r="BC108" i="39"/>
  <c r="B90" i="39"/>
  <c r="BB337" i="39"/>
  <c r="AZ245" i="39"/>
  <c r="AQ143" i="39"/>
  <c r="BJ174" i="39"/>
  <c r="BB223" i="39"/>
  <c r="B168" i="39"/>
  <c r="AQ201" i="39"/>
  <c r="AR146" i="39"/>
  <c r="BC156" i="39"/>
  <c r="AZ191" i="39"/>
  <c r="AQ311" i="39"/>
  <c r="B240" i="39"/>
  <c r="BJ197" i="39"/>
  <c r="BJ76" i="39"/>
  <c r="AR106" i="39"/>
  <c r="AU311" i="39"/>
  <c r="B271" i="39"/>
  <c r="B332" i="39"/>
  <c r="BB238" i="39"/>
  <c r="AU153" i="39"/>
  <c r="AQ243" i="39"/>
  <c r="AR216" i="39"/>
  <c r="B191" i="39"/>
  <c r="AU162" i="39"/>
  <c r="AR88" i="39"/>
  <c r="AQ36" i="39"/>
  <c r="BJ255" i="39"/>
  <c r="AQ165" i="39"/>
  <c r="V44" i="6"/>
  <c r="BJ288" i="39"/>
  <c r="BB105" i="39"/>
  <c r="B151" i="39"/>
  <c r="V27" i="6"/>
  <c r="BC96" i="39"/>
  <c r="BJ230" i="39"/>
  <c r="AR153" i="39"/>
  <c r="BB171" i="39"/>
  <c r="AU161" i="39"/>
  <c r="AZ197" i="39"/>
  <c r="BB308" i="39"/>
  <c r="BB173" i="39"/>
  <c r="AZ184" i="39"/>
  <c r="B312" i="39"/>
  <c r="BC94" i="39"/>
  <c r="B229" i="39"/>
  <c r="BB125" i="39"/>
  <c r="B329" i="39"/>
  <c r="AQ112" i="39"/>
  <c r="AQ107" i="39"/>
  <c r="AZ213" i="39"/>
  <c r="AR132" i="39"/>
  <c r="BB307" i="39"/>
  <c r="BB295" i="39"/>
  <c r="BJ251" i="39"/>
  <c r="AQ226" i="39"/>
  <c r="AZ100" i="39"/>
  <c r="BC179" i="39"/>
  <c r="AZ163" i="39"/>
  <c r="BC239" i="39"/>
  <c r="B44" i="39"/>
  <c r="AU178" i="39"/>
  <c r="BC325" i="39"/>
  <c r="BJ50" i="39"/>
  <c r="AU263" i="39"/>
  <c r="BC281" i="39"/>
  <c r="BJ175" i="39"/>
  <c r="B138" i="39"/>
  <c r="BJ146" i="39"/>
  <c r="B125" i="39"/>
  <c r="BB45" i="39"/>
  <c r="BB85" i="39"/>
  <c r="AR196" i="39"/>
  <c r="AR139" i="39"/>
  <c r="AR240" i="39"/>
  <c r="BB212" i="39"/>
  <c r="AQ68" i="39"/>
  <c r="AQ209" i="39"/>
  <c r="AR112" i="39"/>
  <c r="BB285" i="39"/>
  <c r="AU238" i="39"/>
  <c r="AU247" i="39"/>
  <c r="AQ154" i="39"/>
  <c r="AR228" i="39"/>
  <c r="BJ156" i="39"/>
  <c r="AQ220" i="39"/>
  <c r="AU167" i="39"/>
  <c r="BC13" i="39"/>
  <c r="V40" i="6"/>
  <c r="BJ144" i="39"/>
  <c r="B43" i="39"/>
  <c r="BB132" i="39"/>
  <c r="BB318" i="39"/>
  <c r="AU202" i="39"/>
  <c r="BC259" i="39"/>
  <c r="BC158" i="39"/>
  <c r="BJ328" i="39"/>
  <c r="B42" i="39"/>
  <c r="BC271" i="39"/>
  <c r="AU209" i="39"/>
  <c r="BC45" i="39"/>
  <c r="BJ90" i="39"/>
  <c r="AU271" i="39"/>
  <c r="BB323" i="39"/>
  <c r="AZ192" i="39"/>
  <c r="AR280" i="39"/>
  <c r="BJ169" i="39"/>
  <c r="BC175" i="39"/>
  <c r="B68" i="39"/>
  <c r="BB205" i="39"/>
  <c r="BB13" i="39"/>
  <c r="AR197" i="39"/>
  <c r="B163" i="39"/>
  <c r="AZ19" i="39"/>
  <c r="BB79" i="39"/>
  <c r="AU12" i="39"/>
  <c r="B198" i="39"/>
  <c r="B47" i="39"/>
  <c r="AQ197" i="39"/>
  <c r="AZ158" i="39"/>
  <c r="AQ280" i="39"/>
  <c r="AZ68" i="39"/>
  <c r="BJ269" i="39"/>
  <c r="BC241" i="39"/>
  <c r="BJ159" i="39"/>
  <c r="BJ160" i="39"/>
  <c r="AR83" i="39"/>
  <c r="AU201" i="39"/>
  <c r="B173" i="39"/>
  <c r="BC280" i="39"/>
  <c r="BJ195" i="39"/>
  <c r="BJ332" i="39"/>
  <c r="BC88" i="39"/>
  <c r="BC103" i="39"/>
  <c r="BJ132" i="39"/>
  <c r="AQ326" i="39"/>
  <c r="B129" i="39"/>
  <c r="BJ48" i="39"/>
  <c r="B164" i="39"/>
  <c r="AZ216" i="39"/>
  <c r="BB161" i="39"/>
  <c r="BB153" i="39"/>
  <c r="AU98" i="39"/>
  <c r="BC249" i="39"/>
  <c r="BB178" i="39"/>
  <c r="AR159" i="39"/>
  <c r="AU182" i="39"/>
  <c r="BB312" i="39"/>
  <c r="B258" i="39"/>
  <c r="AU269" i="39"/>
  <c r="AZ161" i="39"/>
  <c r="AZ138" i="39"/>
  <c r="BB221" i="39"/>
  <c r="BJ161" i="39"/>
  <c r="AZ173" i="39"/>
  <c r="AZ93" i="39"/>
  <c r="AU107" i="39"/>
  <c r="BC270" i="39"/>
  <c r="AU143" i="39"/>
  <c r="AR332" i="39"/>
  <c r="BJ12" i="39"/>
  <c r="AR243" i="39"/>
  <c r="BB213" i="39"/>
  <c r="AU102" i="39"/>
  <c r="AU237" i="39"/>
  <c r="BB255" i="39"/>
  <c r="AZ183" i="39"/>
  <c r="AZ16" i="39"/>
  <c r="BB98" i="39"/>
  <c r="AQ122" i="39"/>
  <c r="BC328" i="39"/>
  <c r="AZ99" i="39"/>
  <c r="B186" i="39"/>
  <c r="BC251" i="39"/>
  <c r="V30" i="6"/>
  <c r="AZ338" i="39"/>
  <c r="AR115" i="39"/>
  <c r="AU230" i="39"/>
  <c r="AU117" i="39"/>
  <c r="BC255" i="39"/>
  <c r="BC126" i="39"/>
  <c r="BJ291" i="39"/>
  <c r="BJ154" i="39"/>
  <c r="AZ152" i="39"/>
  <c r="BB114" i="39"/>
  <c r="BB103" i="39"/>
  <c r="AZ39" i="39"/>
  <c r="BJ14" i="39"/>
  <c r="BB117" i="39"/>
  <c r="BC209" i="39"/>
  <c r="AU169" i="39"/>
  <c r="AZ254" i="39"/>
  <c r="BJ254" i="39"/>
  <c r="AU160" i="39"/>
  <c r="BB293" i="39"/>
  <c r="B247" i="39"/>
  <c r="BC268" i="39"/>
  <c r="AZ150" i="39"/>
  <c r="B325" i="39"/>
  <c r="BJ151" i="39"/>
  <c r="B169" i="39"/>
  <c r="AQ66" i="39"/>
  <c r="AZ123" i="39"/>
  <c r="AR301" i="39"/>
  <c r="AQ85" i="39"/>
  <c r="AU105" i="39"/>
  <c r="B39" i="39"/>
  <c r="BB152" i="39"/>
  <c r="BC180" i="39"/>
  <c r="AQ125" i="39"/>
  <c r="AZ115" i="39"/>
  <c r="BB250" i="39"/>
  <c r="AZ168" i="39"/>
  <c r="B149" i="39"/>
  <c r="AU252" i="39"/>
  <c r="AQ241" i="39"/>
  <c r="AQ146" i="39"/>
  <c r="BJ105" i="39"/>
  <c r="AQ307" i="39"/>
  <c r="BJ281" i="39"/>
  <c r="AU270" i="39"/>
  <c r="BC97" i="39"/>
  <c r="BC256" i="39"/>
  <c r="AZ237" i="39"/>
  <c r="BC65" i="39"/>
  <c r="BJ329" i="39"/>
  <c r="B80" i="39"/>
  <c r="BB116" i="39"/>
  <c r="BC263" i="39"/>
  <c r="B263" i="39"/>
  <c r="AU150" i="39"/>
  <c r="BB208" i="39"/>
  <c r="BJ228" i="39"/>
  <c r="B223" i="39"/>
  <c r="AQ228" i="39"/>
  <c r="B256" i="39"/>
  <c r="B320" i="39"/>
  <c r="BC79" i="39"/>
  <c r="BJ183" i="39"/>
  <c r="B175" i="39"/>
  <c r="B65" i="39"/>
  <c r="AU251" i="39"/>
  <c r="AU194" i="39"/>
  <c r="AU163" i="39"/>
  <c r="AZ209" i="39"/>
  <c r="AU293" i="39"/>
  <c r="BC305" i="39"/>
  <c r="BJ143" i="39"/>
  <c r="V35" i="6"/>
  <c r="AQ231" i="39"/>
  <c r="BC198" i="39"/>
  <c r="BC100" i="39"/>
  <c r="BJ185" i="39"/>
  <c r="AZ175" i="39"/>
  <c r="AZ283" i="39"/>
  <c r="AZ340" i="39"/>
  <c r="AZ294" i="39"/>
  <c r="AQ285" i="39"/>
  <c r="AQ204" i="39"/>
  <c r="B159" i="39"/>
  <c r="AR322" i="39"/>
  <c r="BB313" i="39"/>
  <c r="BB137" i="39"/>
  <c r="AR242" i="39"/>
  <c r="AR302" i="39"/>
  <c r="AQ216" i="39"/>
  <c r="BC115" i="39"/>
  <c r="BB280" i="39"/>
  <c r="AU310" i="39"/>
  <c r="B213" i="39"/>
  <c r="BB332" i="39"/>
  <c r="BB324" i="39"/>
  <c r="BB151" i="39"/>
  <c r="B182" i="39"/>
  <c r="B281" i="39"/>
  <c r="BC306" i="39"/>
  <c r="AR18" i="39"/>
  <c r="B291" i="39"/>
  <c r="AR152" i="39"/>
  <c r="AQ81" i="39"/>
  <c r="AQ312" i="39"/>
  <c r="AQ102" i="39"/>
  <c r="BJ249" i="39"/>
  <c r="BJ283" i="39"/>
  <c r="BJ95" i="39"/>
  <c r="AQ313" i="39"/>
  <c r="V36" i="6"/>
  <c r="AQ212" i="39"/>
  <c r="BJ131" i="39"/>
  <c r="AQ128" i="39"/>
  <c r="AU68" i="39"/>
  <c r="AQ83" i="39"/>
  <c r="BC197" i="39"/>
  <c r="BC111" i="39"/>
  <c r="BC246" i="39"/>
  <c r="AR180" i="39"/>
  <c r="BB90" i="39"/>
  <c r="AQ333" i="39"/>
  <c r="B139" i="39"/>
  <c r="BC312" i="39"/>
  <c r="AZ76" i="39"/>
  <c r="BJ236" i="39"/>
  <c r="BB195" i="39"/>
  <c r="AU126" i="39"/>
  <c r="AZ135" i="39"/>
  <c r="AU45" i="39"/>
  <c r="BB211" i="39"/>
  <c r="AU50" i="39"/>
  <c r="AR143" i="39"/>
  <c r="AQ93" i="39"/>
  <c r="BC81" i="39"/>
  <c r="BB93" i="39"/>
  <c r="B204" i="39"/>
  <c r="AU42" i="39"/>
  <c r="BJ319" i="39"/>
  <c r="AZ49" i="39"/>
  <c r="AU338" i="39"/>
  <c r="AZ260" i="39"/>
  <c r="B48" i="39"/>
  <c r="BB94" i="39"/>
  <c r="AZ196" i="39"/>
  <c r="BB283" i="39"/>
  <c r="AU236" i="39"/>
  <c r="B141" i="39"/>
  <c r="AU256" i="39"/>
  <c r="BC172" i="39"/>
  <c r="AQ322" i="39"/>
  <c r="AQ325" i="39"/>
  <c r="AR42" i="39"/>
  <c r="B262" i="39"/>
  <c r="BB209" i="39"/>
  <c r="AQ296" i="39"/>
  <c r="BB129" i="39"/>
  <c r="AQ140" i="39"/>
  <c r="BB39" i="39"/>
  <c r="AQ178" i="39"/>
  <c r="BJ209" i="39"/>
  <c r="B252" i="39"/>
  <c r="AZ154" i="39"/>
  <c r="AQ170" i="39"/>
  <c r="AQ319" i="39"/>
  <c r="B18" i="39"/>
  <c r="AQ308" i="39"/>
  <c r="B69" i="39"/>
  <c r="AR312" i="39"/>
  <c r="BC254" i="39"/>
  <c r="AR45" i="39"/>
  <c r="BC117" i="39"/>
  <c r="AR163" i="39"/>
  <c r="BJ205" i="39"/>
  <c r="AR48" i="39"/>
  <c r="AQ192" i="39"/>
  <c r="B142" i="39"/>
  <c r="BJ322" i="39"/>
  <c r="AQ141" i="39"/>
  <c r="B289" i="39"/>
  <c r="BB310" i="39"/>
  <c r="BJ211" i="39"/>
  <c r="BC16" i="39"/>
  <c r="BJ203" i="39"/>
  <c r="AU44" i="39"/>
  <c r="AQ229" i="39"/>
  <c r="AQ100" i="39"/>
  <c r="AZ124" i="39"/>
  <c r="AR170" i="39"/>
  <c r="AZ247" i="39"/>
  <c r="AR286" i="39"/>
  <c r="AZ105" i="39"/>
  <c r="B38" i="39"/>
  <c r="AZ98" i="39"/>
  <c r="B319" i="39"/>
  <c r="BJ261" i="39"/>
  <c r="AR98" i="39"/>
  <c r="AQ89" i="39"/>
  <c r="AR116" i="39"/>
  <c r="BJ17" i="39"/>
  <c r="AZ71" i="39"/>
  <c r="BB175" i="39"/>
  <c r="AR160" i="39"/>
  <c r="BC14" i="39"/>
  <c r="AQ259" i="39"/>
  <c r="BJ71" i="39"/>
  <c r="AR255" i="39"/>
  <c r="AZ172" i="39"/>
  <c r="AR148" i="39"/>
  <c r="B147" i="39"/>
  <c r="BJ204" i="39"/>
  <c r="BC18" i="39"/>
  <c r="BJ178" i="39"/>
  <c r="BB123" i="39"/>
  <c r="AR76" i="39"/>
  <c r="BJ212" i="39"/>
  <c r="AU97" i="39"/>
  <c r="BB100" i="39"/>
  <c r="AR247" i="39"/>
  <c r="AZ186" i="39"/>
  <c r="BJ243" i="39"/>
  <c r="AZ125" i="39"/>
  <c r="AZ231" i="39"/>
  <c r="AZ185" i="39"/>
  <c r="BJ182" i="39"/>
  <c r="AZ296" i="39"/>
  <c r="B184" i="39"/>
  <c r="BJ46" i="39"/>
  <c r="B197" i="39"/>
  <c r="B199" i="39"/>
  <c r="AZ162" i="39"/>
  <c r="AZ109" i="39"/>
  <c r="BB269" i="39"/>
  <c r="BC205" i="39"/>
  <c r="B170" i="39"/>
  <c r="AU172" i="39"/>
  <c r="BC98" i="39"/>
  <c r="AZ121" i="39"/>
  <c r="B76" i="39"/>
  <c r="AU228" i="39"/>
  <c r="B103" i="39"/>
  <c r="BJ118" i="39"/>
  <c r="BJ252" i="39"/>
  <c r="BC194" i="39"/>
  <c r="AU173" i="39"/>
  <c r="BC149" i="39"/>
  <c r="B135" i="39"/>
  <c r="AU78" i="39"/>
  <c r="AR333" i="39"/>
  <c r="BJ87" i="39"/>
  <c r="AU130" i="39"/>
  <c r="AZ334" i="39"/>
  <c r="BJ39" i="39"/>
  <c r="BJ126" i="39"/>
  <c r="BB174" i="39"/>
  <c r="AZ131" i="39"/>
  <c r="BB193" i="39"/>
  <c r="AR331" i="39"/>
  <c r="AZ198" i="39"/>
  <c r="AU15" i="39"/>
  <c r="AR318" i="39"/>
  <c r="AZ96" i="39"/>
  <c r="AR200" i="39"/>
  <c r="B196" i="39"/>
  <c r="AQ252" i="39"/>
  <c r="BB240" i="39"/>
  <c r="V38" i="6"/>
  <c r="B126" i="39"/>
  <c r="AQ294" i="39"/>
  <c r="BJ68" i="39"/>
  <c r="AR171" i="39"/>
  <c r="BC107" i="39"/>
  <c r="AR118" i="39"/>
  <c r="AR137" i="39"/>
  <c r="B96" i="39"/>
  <c r="BB74" i="39"/>
  <c r="AR16" i="39"/>
  <c r="AZ174" i="39"/>
  <c r="B251" i="39"/>
  <c r="AZ251" i="39"/>
  <c r="BJ338" i="39"/>
  <c r="AQ15" i="39"/>
  <c r="BJ137" i="39"/>
  <c r="AQ12" i="39"/>
  <c r="AZ84" i="39"/>
  <c r="AU159" i="39"/>
  <c r="AQ152" i="39"/>
  <c r="AQ47" i="39"/>
  <c r="AR107" i="39"/>
  <c r="AZ229" i="39"/>
  <c r="AU246" i="39"/>
  <c r="AU267" i="39"/>
  <c r="AR176" i="39"/>
  <c r="BJ231" i="39"/>
  <c r="AU199" i="39"/>
  <c r="BC302" i="39"/>
  <c r="BJ271" i="39"/>
  <c r="BB143" i="39"/>
  <c r="AQ147" i="39"/>
  <c r="B102" i="39"/>
  <c r="AR205" i="39"/>
  <c r="B15" i="39"/>
  <c r="BJ312" i="39"/>
  <c r="AQ88" i="39"/>
  <c r="B12" i="39"/>
  <c r="BB219" i="39"/>
  <c r="BC173" i="39"/>
  <c r="AZ153" i="39"/>
  <c r="BC137" i="39"/>
  <c r="BB228" i="39"/>
  <c r="AZ94" i="39"/>
  <c r="B219" i="39"/>
  <c r="BB147" i="39"/>
  <c r="AU100" i="39"/>
  <c r="BC326" i="39"/>
  <c r="AR310" i="39"/>
  <c r="AR94" i="39"/>
  <c r="AQ158" i="39"/>
  <c r="AR268" i="39"/>
  <c r="V24" i="6"/>
  <c r="BJ301" i="39"/>
  <c r="B95" i="39"/>
  <c r="AR239" i="39"/>
  <c r="AU76" i="39"/>
  <c r="B238" i="39"/>
  <c r="BB305" i="39"/>
  <c r="BJ49" i="39"/>
  <c r="AR161" i="39"/>
  <c r="AU204" i="39"/>
  <c r="AQ295" i="39"/>
  <c r="AZ13" i="39"/>
  <c r="BB237" i="39"/>
  <c r="BB71" i="39"/>
  <c r="BC186" i="39"/>
  <c r="B195" i="39"/>
  <c r="BB335" i="39"/>
  <c r="AQ183" i="39"/>
  <c r="BJ232" i="39"/>
  <c r="BB243" i="39"/>
  <c r="AZ195" i="39"/>
  <c r="BC258" i="39"/>
  <c r="AU242" i="39"/>
  <c r="BC141" i="39"/>
  <c r="AU294" i="39"/>
  <c r="AZ240" i="39"/>
  <c r="AR306" i="39"/>
  <c r="AR311" i="39"/>
  <c r="BJ94" i="39"/>
  <c r="BJ270" i="39"/>
  <c r="BJ296" i="39"/>
  <c r="AR73" i="39"/>
  <c r="AZ143" i="39"/>
  <c r="BB69" i="39"/>
  <c r="AR100" i="39"/>
  <c r="AU281" i="39"/>
  <c r="AQ269" i="39"/>
  <c r="AR313" i="39"/>
  <c r="BC207" i="39"/>
  <c r="AR288" i="39"/>
  <c r="AQ167" i="39"/>
  <c r="BJ128" i="39"/>
  <c r="AU289" i="39"/>
  <c r="AQ70" i="39"/>
  <c r="AU325" i="39"/>
  <c r="BB199" i="39"/>
  <c r="BJ171" i="39"/>
  <c r="BC130" i="39"/>
  <c r="BB306" i="39"/>
  <c r="AQ45" i="39"/>
  <c r="BC184" i="39"/>
  <c r="AZ118" i="39"/>
  <c r="AQ267" i="39"/>
  <c r="B97" i="39"/>
  <c r="AU112" i="39"/>
  <c r="BJ112" i="39"/>
  <c r="AU84" i="39"/>
  <c r="BJ149" i="39"/>
  <c r="B93" i="39"/>
  <c r="AQ79" i="39"/>
  <c r="AQ130" i="39"/>
  <c r="BC69" i="39"/>
  <c r="BC70" i="39"/>
  <c r="BJ193" i="39"/>
  <c r="AU203" i="39"/>
  <c r="BB216" i="39"/>
  <c r="B243" i="39"/>
  <c r="B215" i="39"/>
  <c r="B16" i="39"/>
  <c r="AQ64" i="39"/>
  <c r="AR81" i="39"/>
  <c r="AZ15" i="39"/>
  <c r="AQ106" i="39"/>
  <c r="AZ141" i="39"/>
  <c r="BC15" i="39"/>
  <c r="AR87" i="39"/>
  <c r="BJ259" i="39"/>
  <c r="BJ286" i="39"/>
  <c r="AR97" i="39"/>
  <c r="AR69" i="39"/>
  <c r="AR193" i="39"/>
  <c r="BB249" i="39"/>
  <c r="AZ246" i="39"/>
  <c r="BB270" i="39"/>
  <c r="BB84" i="39"/>
  <c r="BJ310" i="39"/>
  <c r="B335" i="39"/>
  <c r="BC121" i="39"/>
  <c r="AU86" i="39"/>
  <c r="AR328" i="39"/>
  <c r="BC333" i="39"/>
  <c r="AU176" i="39"/>
  <c r="BB168" i="39"/>
  <c r="BC167" i="39"/>
  <c r="BC74" i="39"/>
  <c r="AU16" i="39"/>
  <c r="B88" i="39"/>
  <c r="BJ38" i="39"/>
  <c r="AZ88" i="39"/>
  <c r="AR251" i="39"/>
  <c r="BJ134" i="39"/>
  <c r="BJ305" i="39"/>
  <c r="G88" i="39" l="1"/>
  <c r="D16" i="39"/>
  <c r="BD74" i="39"/>
  <c r="C74" i="39" s="1"/>
  <c r="BD167" i="39"/>
  <c r="C167" i="39" s="1"/>
  <c r="BI168" i="39"/>
  <c r="W168" i="39" s="1"/>
  <c r="D176" i="39"/>
  <c r="BD333" i="39"/>
  <c r="C333" i="39" s="1"/>
  <c r="D86" i="39"/>
  <c r="BD121" i="39"/>
  <c r="C121" i="39" s="1"/>
  <c r="BI84" i="39"/>
  <c r="W84" i="39" s="1"/>
  <c r="BI270" i="39"/>
  <c r="W270" i="39" s="1"/>
  <c r="G246" i="39"/>
  <c r="BI249" i="39"/>
  <c r="BD15" i="39"/>
  <c r="C15" i="39" s="1"/>
  <c r="G141" i="39"/>
  <c r="G15" i="39"/>
  <c r="BI216" i="39"/>
  <c r="W216" i="39" s="1"/>
  <c r="D203" i="39"/>
  <c r="BD70" i="39"/>
  <c r="C70" i="39" s="1"/>
  <c r="BD69" i="39"/>
  <c r="C69" i="39" s="1"/>
  <c r="D84" i="39"/>
  <c r="D112" i="39"/>
  <c r="G118" i="39"/>
  <c r="BD184" i="39"/>
  <c r="C184" i="39" s="1"/>
  <c r="BI306" i="39"/>
  <c r="W306" i="39" s="1"/>
  <c r="BD130" i="39"/>
  <c r="C130" i="39" s="1"/>
  <c r="BI199" i="39"/>
  <c r="W199" i="39" s="1"/>
  <c r="D325" i="39"/>
  <c r="D289" i="39"/>
  <c r="BD207" i="39"/>
  <c r="C207" i="39" s="1"/>
  <c r="D281" i="39"/>
  <c r="BI69" i="39"/>
  <c r="W69" i="39" s="1"/>
  <c r="G143" i="39"/>
  <c r="G240" i="39"/>
  <c r="D294" i="39"/>
  <c r="BD141" i="39"/>
  <c r="C141" i="39" s="1"/>
  <c r="D242" i="39"/>
  <c r="BD258" i="39"/>
  <c r="C258" i="39" s="1"/>
  <c r="G195" i="39"/>
  <c r="BI243" i="39"/>
  <c r="W243" i="39" s="1"/>
  <c r="BI335" i="39"/>
  <c r="W335" i="39" s="1"/>
  <c r="BD186" i="39"/>
  <c r="C186" i="39" s="1"/>
  <c r="BI71" i="39"/>
  <c r="W71" i="39" s="1"/>
  <c r="BI237" i="39"/>
  <c r="W237" i="39" s="1"/>
  <c r="G13" i="39"/>
  <c r="D204" i="39"/>
  <c r="BI305" i="39"/>
  <c r="D76" i="39"/>
  <c r="BD326" i="39"/>
  <c r="C326" i="39" s="1"/>
  <c r="D100" i="39"/>
  <c r="BI147" i="39"/>
  <c r="W147" i="39" s="1"/>
  <c r="G94" i="39"/>
  <c r="BI228" i="39"/>
  <c r="W228" i="39" s="1"/>
  <c r="BD137" i="39"/>
  <c r="C137" i="39" s="1"/>
  <c r="G153" i="39"/>
  <c r="BD173" i="39"/>
  <c r="C173" i="39" s="1"/>
  <c r="BI219" i="39"/>
  <c r="W219" i="39" s="1"/>
  <c r="BI143" i="39"/>
  <c r="W143" i="39" s="1"/>
  <c r="BD302" i="39"/>
  <c r="C302" i="39" s="1"/>
  <c r="D199" i="39"/>
  <c r="D267" i="39"/>
  <c r="D246" i="39"/>
  <c r="G229" i="39"/>
  <c r="D159" i="39"/>
  <c r="G84" i="39"/>
  <c r="G251" i="39"/>
  <c r="G174" i="39"/>
  <c r="BI74" i="39"/>
  <c r="W74" i="39" s="1"/>
  <c r="BD107" i="39"/>
  <c r="C107" i="39" s="1"/>
  <c r="BI240" i="39"/>
  <c r="W240" i="39" s="1"/>
  <c r="G96" i="39"/>
  <c r="D15" i="39"/>
  <c r="G198" i="39"/>
  <c r="BI193" i="39"/>
  <c r="W193" i="39" s="1"/>
  <c r="G131" i="39"/>
  <c r="BI174" i="39"/>
  <c r="W174" i="39" s="1"/>
  <c r="G334" i="39"/>
  <c r="D130" i="39"/>
  <c r="D78" i="39"/>
  <c r="BD149" i="39"/>
  <c r="C149" i="39" s="1"/>
  <c r="D173" i="39"/>
  <c r="BD194" i="39"/>
  <c r="C194" i="39" s="1"/>
  <c r="D228" i="39"/>
  <c r="G121" i="39"/>
  <c r="BD98" i="39"/>
  <c r="C98" i="39" s="1"/>
  <c r="D172" i="39"/>
  <c r="BD205" i="39"/>
  <c r="C205" i="39" s="1"/>
  <c r="BI269" i="39"/>
  <c r="W269" i="39" s="1"/>
  <c r="G109" i="39"/>
  <c r="G162" i="39"/>
  <c r="G296" i="39"/>
  <c r="G185" i="39"/>
  <c r="G231" i="39"/>
  <c r="G125" i="39"/>
  <c r="G186" i="39"/>
  <c r="BI100" i="39"/>
  <c r="W100" i="39" s="1"/>
  <c r="D97" i="39"/>
  <c r="BI123" i="39"/>
  <c r="W123" i="39" s="1"/>
  <c r="BD18" i="39"/>
  <c r="C18" i="39" s="1"/>
  <c r="G172" i="39"/>
  <c r="BD14" i="39"/>
  <c r="C14" i="39" s="1"/>
  <c r="BI175" i="39"/>
  <c r="W175" i="39" s="1"/>
  <c r="G71" i="39"/>
  <c r="G98" i="39"/>
  <c r="G105" i="39"/>
  <c r="G247" i="39"/>
  <c r="G124" i="39"/>
  <c r="D44" i="39"/>
  <c r="BD16" i="39"/>
  <c r="C16" i="39" s="1"/>
  <c r="BI310" i="39"/>
  <c r="W310" i="39" s="1"/>
  <c r="BD117" i="39"/>
  <c r="C117" i="39" s="1"/>
  <c r="BD254" i="39"/>
  <c r="C254" i="39" s="1"/>
  <c r="G154" i="39"/>
  <c r="BI39" i="39"/>
  <c r="W39" i="39" s="1"/>
  <c r="BI129" i="39"/>
  <c r="W129" i="39" s="1"/>
  <c r="BI209" i="39"/>
  <c r="W209" i="39" s="1"/>
  <c r="BD172" i="39"/>
  <c r="C172" i="39" s="1"/>
  <c r="D256" i="39"/>
  <c r="D236" i="39"/>
  <c r="BI283" i="39"/>
  <c r="W283" i="39" s="1"/>
  <c r="G196" i="39"/>
  <c r="BI94" i="39"/>
  <c r="W94" i="39" s="1"/>
  <c r="G260" i="39"/>
  <c r="D338" i="39"/>
  <c r="G49" i="39"/>
  <c r="D42" i="39"/>
  <c r="BI93" i="39"/>
  <c r="W93" i="39" s="1"/>
  <c r="BD81" i="39"/>
  <c r="C81" i="39" s="1"/>
  <c r="D50" i="39"/>
  <c r="BI211" i="39"/>
  <c r="W211" i="39" s="1"/>
  <c r="D45" i="39"/>
  <c r="G135" i="39"/>
  <c r="D126" i="39"/>
  <c r="BI195" i="39"/>
  <c r="W195" i="39" s="1"/>
  <c r="G76" i="39"/>
  <c r="BD312" i="39"/>
  <c r="C312" i="39" s="1"/>
  <c r="BI90" i="39"/>
  <c r="W90" i="39" s="1"/>
  <c r="BD246" i="39"/>
  <c r="C246" i="39" s="1"/>
  <c r="BD111" i="39"/>
  <c r="C111" i="39" s="1"/>
  <c r="BD197" i="39"/>
  <c r="C197" i="39" s="1"/>
  <c r="D68" i="39"/>
  <c r="BD306" i="39"/>
  <c r="C306" i="39" s="1"/>
  <c r="BI151" i="39"/>
  <c r="W151" i="39" s="1"/>
  <c r="BI324" i="39"/>
  <c r="W324" i="39" s="1"/>
  <c r="BI332" i="39"/>
  <c r="W332" i="39" s="1"/>
  <c r="D310" i="39"/>
  <c r="BI280" i="39"/>
  <c r="BD115" i="39"/>
  <c r="C115" i="39" s="1"/>
  <c r="BI137" i="39"/>
  <c r="BI313" i="39"/>
  <c r="W313" i="39" s="1"/>
  <c r="G294" i="39"/>
  <c r="G340" i="39"/>
  <c r="G283" i="39"/>
  <c r="G175" i="39"/>
  <c r="BD100" i="39"/>
  <c r="C100" i="39" s="1"/>
  <c r="BD198" i="39"/>
  <c r="C198" i="39" s="1"/>
  <c r="BD305" i="39"/>
  <c r="C305" i="39" s="1"/>
  <c r="D293" i="39"/>
  <c r="G209" i="39"/>
  <c r="D163" i="39"/>
  <c r="D194" i="39"/>
  <c r="D251" i="39"/>
  <c r="BD79" i="39"/>
  <c r="C79" i="39" s="1"/>
  <c r="BI208" i="39"/>
  <c r="W208" i="39" s="1"/>
  <c r="D150" i="39"/>
  <c r="BD263" i="39"/>
  <c r="C263" i="39" s="1"/>
  <c r="BI116" i="39"/>
  <c r="W116" i="39" s="1"/>
  <c r="BD65" i="39"/>
  <c r="C65" i="39" s="1"/>
  <c r="G237" i="39"/>
  <c r="BD256" i="39"/>
  <c r="C256" i="39" s="1"/>
  <c r="BD97" i="39"/>
  <c r="C97" i="39" s="1"/>
  <c r="D270" i="39"/>
  <c r="D252" i="39"/>
  <c r="G168" i="39"/>
  <c r="BI250" i="39"/>
  <c r="W250" i="39" s="1"/>
  <c r="G115" i="39"/>
  <c r="BD180" i="39"/>
  <c r="C180" i="39" s="1"/>
  <c r="BI152" i="39"/>
  <c r="W152" i="39" s="1"/>
  <c r="D105" i="39"/>
  <c r="G123" i="39"/>
  <c r="G150" i="39"/>
  <c r="BD268" i="39"/>
  <c r="C268" i="39" s="1"/>
  <c r="BI293" i="39"/>
  <c r="W293" i="39" s="1"/>
  <c r="D160" i="39"/>
  <c r="G254" i="39"/>
  <c r="D169" i="39"/>
  <c r="BD209" i="39"/>
  <c r="C209" i="39" s="1"/>
  <c r="BI117" i="39"/>
  <c r="W117" i="39" s="1"/>
  <c r="G39" i="39"/>
  <c r="BI103" i="39"/>
  <c r="W103" i="39" s="1"/>
  <c r="BI114" i="39"/>
  <c r="W114" i="39" s="1"/>
  <c r="G152" i="39"/>
  <c r="BD126" i="39"/>
  <c r="C126" i="39" s="1"/>
  <c r="BD255" i="39"/>
  <c r="C255" i="39" s="1"/>
  <c r="D117" i="39"/>
  <c r="D230" i="39"/>
  <c r="G338" i="39"/>
  <c r="BD251" i="39"/>
  <c r="C251" i="39" s="1"/>
  <c r="G99" i="39"/>
  <c r="BD328" i="39"/>
  <c r="C328" i="39" s="1"/>
  <c r="BI98" i="39"/>
  <c r="W98" i="39" s="1"/>
  <c r="G16" i="39"/>
  <c r="G183" i="39"/>
  <c r="BI255" i="39"/>
  <c r="W255" i="39" s="1"/>
  <c r="D237" i="39"/>
  <c r="D102" i="39"/>
  <c r="BI213" i="39"/>
  <c r="W213" i="39" s="1"/>
  <c r="D143" i="39"/>
  <c r="BD270" i="39"/>
  <c r="C270" i="39" s="1"/>
  <c r="D107" i="39"/>
  <c r="G93" i="39"/>
  <c r="G173" i="39"/>
  <c r="BI221" i="39"/>
  <c r="W221" i="39" s="1"/>
  <c r="G138" i="39"/>
  <c r="G161" i="39"/>
  <c r="D269" i="39"/>
  <c r="BI312" i="39"/>
  <c r="W312" i="39" s="1"/>
  <c r="D182" i="39"/>
  <c r="BI178" i="39"/>
  <c r="W178" i="39" s="1"/>
  <c r="BD249" i="39"/>
  <c r="C249" i="39" s="1"/>
  <c r="D98" i="39"/>
  <c r="BI153" i="39"/>
  <c r="W153" i="39" s="1"/>
  <c r="BI161" i="39"/>
  <c r="W161" i="39" s="1"/>
  <c r="G216" i="39"/>
  <c r="BD103" i="39"/>
  <c r="C103" i="39" s="1"/>
  <c r="BD88" i="39"/>
  <c r="C88" i="39" s="1"/>
  <c r="BD280" i="39"/>
  <c r="C280" i="39" s="1"/>
  <c r="D201" i="39"/>
  <c r="BD241" i="39"/>
  <c r="C241" i="39" s="1"/>
  <c r="G68" i="39"/>
  <c r="G158" i="39"/>
  <c r="D12" i="39"/>
  <c r="BI79" i="39"/>
  <c r="W79" i="39" s="1"/>
  <c r="G19" i="39"/>
  <c r="BI13" i="39"/>
  <c r="W13" i="39" s="1"/>
  <c r="BI205" i="39"/>
  <c r="W205" i="39" s="1"/>
  <c r="BD175" i="39"/>
  <c r="C175" i="39" s="1"/>
  <c r="G192" i="39"/>
  <c r="BI323" i="39"/>
  <c r="W323" i="39" s="1"/>
  <c r="D271" i="39"/>
  <c r="BD45" i="39"/>
  <c r="C45" i="39" s="1"/>
  <c r="D209" i="39"/>
  <c r="BD271" i="39"/>
  <c r="C271" i="39" s="1"/>
  <c r="BD158" i="39"/>
  <c r="C158" i="39" s="1"/>
  <c r="BD259" i="39"/>
  <c r="C259" i="39" s="1"/>
  <c r="D202" i="39"/>
  <c r="BI318" i="39"/>
  <c r="W318" i="39" s="1"/>
  <c r="BI132" i="39"/>
  <c r="W132" i="39" s="1"/>
  <c r="BD13" i="39"/>
  <c r="C13" i="39" s="1"/>
  <c r="D167" i="39"/>
  <c r="D247" i="39"/>
  <c r="D238" i="39"/>
  <c r="BI285" i="39"/>
  <c r="BI212" i="39"/>
  <c r="W212" i="39" s="1"/>
  <c r="BI85" i="39"/>
  <c r="W85" i="39" s="1"/>
  <c r="BI45" i="39"/>
  <c r="W45" i="39" s="1"/>
  <c r="BD281" i="39"/>
  <c r="C281" i="39" s="1"/>
  <c r="D263" i="39"/>
  <c r="BD325" i="39"/>
  <c r="C325" i="39" s="1"/>
  <c r="D178" i="39"/>
  <c r="BD239" i="39"/>
  <c r="C239" i="39" s="1"/>
  <c r="G163" i="39"/>
  <c r="BD179" i="39"/>
  <c r="C179" i="39" s="1"/>
  <c r="G100" i="39"/>
  <c r="BI295" i="39"/>
  <c r="W295" i="39" s="1"/>
  <c r="BI307" i="39"/>
  <c r="W307" i="39" s="1"/>
  <c r="G213" i="39"/>
  <c r="BI125" i="39"/>
  <c r="W125" i="39" s="1"/>
  <c r="BD94" i="39"/>
  <c r="C94" i="39" s="1"/>
  <c r="G184" i="39"/>
  <c r="BI173" i="39"/>
  <c r="W173" i="39" s="1"/>
  <c r="BI308" i="39"/>
  <c r="W308" i="39" s="1"/>
  <c r="G197" i="39"/>
  <c r="D161" i="39"/>
  <c r="BI171" i="39"/>
  <c r="W171" i="39" s="1"/>
  <c r="BD96" i="39"/>
  <c r="C96" i="39" s="1"/>
  <c r="BI105" i="39"/>
  <c r="D162" i="39"/>
  <c r="D153" i="39"/>
  <c r="BI238" i="39"/>
  <c r="W238" i="39" s="1"/>
  <c r="D311" i="39"/>
  <c r="BG191" i="39" a="1"/>
  <c r="BG191" i="39" s="1"/>
  <c r="I191" i="39" s="1"/>
  <c r="BF191" i="39" a="1"/>
  <c r="BF191" i="39" s="1"/>
  <c r="G191" i="39"/>
  <c r="BD156" i="39"/>
  <c r="C156" i="39" s="1"/>
  <c r="BI223" i="39"/>
  <c r="W223" i="39" s="1"/>
  <c r="G245" i="39"/>
  <c r="BI337" i="39"/>
  <c r="W337" i="39" s="1"/>
  <c r="BD108" i="39"/>
  <c r="C108" i="39" s="1"/>
  <c r="D89" i="39"/>
  <c r="BD129" i="39"/>
  <c r="C129" i="39" s="1"/>
  <c r="BD171" i="39"/>
  <c r="C171" i="39" s="1"/>
  <c r="BI148" i="39"/>
  <c r="W148" i="39" s="1"/>
  <c r="D139" i="39"/>
  <c r="BD159" i="39"/>
  <c r="C159" i="39" s="1"/>
  <c r="G85" i="39"/>
  <c r="D285" i="39"/>
  <c r="D66" i="39"/>
  <c r="BI338" i="39"/>
  <c r="W338" i="39" s="1"/>
  <c r="BD334" i="39"/>
  <c r="C334" i="39" s="1"/>
  <c r="G317" i="39"/>
  <c r="BI15" i="39"/>
  <c r="W15" i="39" s="1"/>
  <c r="BD340" i="39"/>
  <c r="C340" i="39" s="1"/>
  <c r="D40" i="39"/>
  <c r="BD295" i="39"/>
  <c r="C295" i="39" s="1"/>
  <c r="BF190" i="39" a="1"/>
  <c r="BF190" i="39" s="1"/>
  <c r="BG190" i="39" a="1"/>
  <c r="BG190" i="39" s="1"/>
  <c r="G190" i="39"/>
  <c r="G255" i="39"/>
  <c r="BD204" i="39"/>
  <c r="C204" i="39" s="1"/>
  <c r="D142" i="39"/>
  <c r="BD144" i="39"/>
  <c r="C144" i="39" s="1"/>
  <c r="G207" i="39"/>
  <c r="D221" i="39"/>
  <c r="D229" i="39"/>
  <c r="G291" i="39"/>
  <c r="D128" i="39"/>
  <c r="BI230" i="39"/>
  <c r="W230" i="39" s="1"/>
  <c r="BD229" i="39"/>
  <c r="C229" i="39" s="1"/>
  <c r="BI138" i="39"/>
  <c r="W138" i="39" s="1"/>
  <c r="BI97" i="39"/>
  <c r="W97" i="39" s="1"/>
  <c r="BD50" i="39"/>
  <c r="C50" i="39" s="1"/>
  <c r="BI311" i="39"/>
  <c r="W311" i="39" s="1"/>
  <c r="D114" i="39"/>
  <c r="D39" i="39"/>
  <c r="BI142" i="39"/>
  <c r="W142" i="39" s="1"/>
  <c r="D69" i="39"/>
  <c r="G214" i="39"/>
  <c r="G307" i="39"/>
  <c r="BD176" i="39"/>
  <c r="C176" i="39" s="1"/>
  <c r="BD296" i="39"/>
  <c r="C296" i="39" s="1"/>
  <c r="BD47" i="39"/>
  <c r="C47" i="39" s="1"/>
  <c r="BD155" i="39"/>
  <c r="C155" i="39" s="1"/>
  <c r="BI139" i="39"/>
  <c r="W139" i="39" s="1"/>
  <c r="BD313" i="39"/>
  <c r="C313" i="39" s="1"/>
  <c r="D125" i="39"/>
  <c r="G134" i="39"/>
  <c r="BI18" i="39"/>
  <c r="W18" i="39" s="1"/>
  <c r="D151" i="39"/>
  <c r="BI317" i="39"/>
  <c r="W317" i="39" s="1"/>
  <c r="BI19" i="39"/>
  <c r="W19" i="39" s="1"/>
  <c r="BI66" i="39"/>
  <c r="W66" i="39" s="1"/>
  <c r="G269" i="39"/>
  <c r="BD87" i="39"/>
  <c r="C87" i="39" s="1"/>
  <c r="D200" i="39"/>
  <c r="BD119" i="39"/>
  <c r="C119" i="39" s="1"/>
  <c r="BD216" i="39"/>
  <c r="C216" i="39" s="1"/>
  <c r="D134" i="39"/>
  <c r="BI217" i="39"/>
  <c r="W217" i="39" s="1"/>
  <c r="G228" i="39"/>
  <c r="BI242" i="39"/>
  <c r="W242" i="39" s="1"/>
  <c r="D168" i="39"/>
  <c r="D138" i="39"/>
  <c r="BI81" i="39"/>
  <c r="W81" i="39" s="1"/>
  <c r="BD99" i="39"/>
  <c r="C99" i="39" s="1"/>
  <c r="D87" i="39"/>
  <c r="D147" i="39"/>
  <c r="G48" i="39"/>
  <c r="G14" i="39"/>
  <c r="BD132" i="39"/>
  <c r="C132" i="39" s="1"/>
  <c r="D115" i="39"/>
  <c r="BI289" i="39"/>
  <c r="W289" i="39" s="1"/>
  <c r="BI197" i="39"/>
  <c r="W197" i="39" s="1"/>
  <c r="G69" i="39"/>
  <c r="D222" i="39"/>
  <c r="D335" i="39"/>
  <c r="BD319" i="39"/>
  <c r="C319" i="39" s="1"/>
  <c r="BD202" i="39"/>
  <c r="C202" i="39" s="1"/>
  <c r="D306" i="39"/>
  <c r="BD84" i="39"/>
  <c r="C84" i="39" s="1"/>
  <c r="D323" i="39"/>
  <c r="D135" i="39"/>
  <c r="BI121" i="39"/>
  <c r="BI160" i="39"/>
  <c r="W160" i="39" s="1"/>
  <c r="BD146" i="39"/>
  <c r="C146" i="39" s="1"/>
  <c r="G47" i="39"/>
  <c r="G226" i="39"/>
  <c r="BD138" i="39"/>
  <c r="C138" i="39" s="1"/>
  <c r="G86" i="39"/>
  <c r="G292" i="39"/>
  <c r="BI47" i="39"/>
  <c r="W47" i="39" s="1"/>
  <c r="BD224" i="39"/>
  <c r="C224" i="39" s="1"/>
  <c r="BI107" i="39"/>
  <c r="W107" i="39" s="1"/>
  <c r="G119" i="39"/>
  <c r="G335" i="39"/>
  <c r="D331" i="39"/>
  <c r="BI135" i="39"/>
  <c r="W135" i="39" s="1"/>
  <c r="BI202" i="39"/>
  <c r="W202" i="39" s="1"/>
  <c r="BD335" i="39"/>
  <c r="C335" i="39" s="1"/>
  <c r="BI336" i="39"/>
  <c r="W336" i="39" s="1"/>
  <c r="G169" i="39"/>
  <c r="BI261" i="39"/>
  <c r="W261" i="39" s="1"/>
  <c r="D205" i="39"/>
  <c r="BD83" i="39"/>
  <c r="C83" i="39" s="1"/>
  <c r="BI326" i="39"/>
  <c r="W326" i="39" s="1"/>
  <c r="G81" i="39"/>
  <c r="BD203" i="39"/>
  <c r="C203" i="39" s="1"/>
  <c r="G79" i="39"/>
  <c r="G211" i="39"/>
  <c r="BD114" i="39"/>
  <c r="C114" i="39" s="1"/>
  <c r="G330" i="39"/>
  <c r="BI286" i="39"/>
  <c r="W286" i="39" s="1"/>
  <c r="BI258" i="39"/>
  <c r="W258" i="39" s="1"/>
  <c r="G12" i="39"/>
  <c r="G178" i="39"/>
  <c r="BD161" i="39"/>
  <c r="C161" i="39" s="1"/>
  <c r="BD150" i="39"/>
  <c r="C150" i="39" s="1"/>
  <c r="BD163" i="39"/>
  <c r="C163" i="39" s="1"/>
  <c r="D307" i="39"/>
  <c r="BD124" i="39"/>
  <c r="C124" i="39" s="1"/>
  <c r="G95" i="39"/>
  <c r="G200" i="39"/>
  <c r="BD199" i="39"/>
  <c r="C199" i="39" s="1"/>
  <c r="D137" i="39"/>
  <c r="BD125" i="39"/>
  <c r="C125" i="39" s="1"/>
  <c r="BD178" i="39"/>
  <c r="C178" i="39" s="1"/>
  <c r="BI36" i="39"/>
  <c r="W36" i="39" s="1"/>
  <c r="D217" i="39"/>
  <c r="BD39" i="39"/>
  <c r="C39" i="39" s="1"/>
  <c r="BD232" i="39"/>
  <c r="C232" i="39" s="1"/>
  <c r="G329" i="39"/>
  <c r="G230" i="39"/>
  <c r="D180" i="39"/>
  <c r="D332" i="39"/>
  <c r="BI110" i="39"/>
  <c r="W110" i="39" s="1"/>
  <c r="D211" i="39"/>
  <c r="D213" i="39"/>
  <c r="BI89" i="39"/>
  <c r="W89" i="39" s="1"/>
  <c r="BI183" i="39"/>
  <c r="W183" i="39" s="1"/>
  <c r="BI267" i="39"/>
  <c r="W267" i="39" s="1"/>
  <c r="BI226" i="39"/>
  <c r="W226" i="39" s="1"/>
  <c r="D96" i="39"/>
  <c r="G80" i="39"/>
  <c r="D118" i="39"/>
  <c r="G65" i="39"/>
  <c r="G137" i="39"/>
  <c r="BI198" i="39"/>
  <c r="W198" i="39" s="1"/>
  <c r="D129" i="39"/>
  <c r="G87" i="39"/>
  <c r="G219" i="39"/>
  <c r="G320" i="39"/>
  <c r="BI263" i="39"/>
  <c r="W263" i="39" s="1"/>
  <c r="G295" i="39"/>
  <c r="BI200" i="39"/>
  <c r="W200" i="39" s="1"/>
  <c r="BD228" i="39"/>
  <c r="C228" i="39" s="1"/>
  <c r="D192" i="39"/>
  <c r="BD122" i="39"/>
  <c r="C122" i="39" s="1"/>
  <c r="BD331" i="39"/>
  <c r="C331" i="39" s="1"/>
  <c r="BD46" i="39"/>
  <c r="C46" i="39" s="1"/>
  <c r="BD193" i="39"/>
  <c r="C193" i="39" s="1"/>
  <c r="D131" i="39"/>
  <c r="G252" i="39"/>
  <c r="BD240" i="39"/>
  <c r="C240" i="39" s="1"/>
  <c r="D183" i="39"/>
  <c r="BI106" i="39"/>
  <c r="W106" i="39" s="1"/>
  <c r="D193" i="39"/>
  <c r="D321" i="39"/>
  <c r="BI95" i="39"/>
  <c r="W95" i="39" s="1"/>
  <c r="BI329" i="39"/>
  <c r="W329" i="39" s="1"/>
  <c r="BD262" i="39"/>
  <c r="C262" i="39" s="1"/>
  <c r="D296" i="39"/>
  <c r="BD336" i="39"/>
  <c r="C336" i="39" s="1"/>
  <c r="BD93" i="39"/>
  <c r="C93" i="39" s="1"/>
  <c r="D312" i="39"/>
  <c r="BD106" i="39"/>
  <c r="C106" i="39" s="1"/>
  <c r="G179" i="39"/>
  <c r="BI12" i="39"/>
  <c r="G193" i="39"/>
  <c r="G46" i="39"/>
  <c r="BD330" i="39"/>
  <c r="C330" i="39" s="1"/>
  <c r="D37" i="39"/>
  <c r="G268" i="39"/>
  <c r="D195" i="39"/>
  <c r="BD64" i="39"/>
  <c r="C64" i="39" s="1"/>
  <c r="BI73" i="39"/>
  <c r="W73" i="39" s="1"/>
  <c r="BI288" i="39"/>
  <c r="W288" i="39" s="1"/>
  <c r="D36" i="39"/>
  <c r="D261" i="39"/>
  <c r="G181" i="39"/>
  <c r="BD238" i="39"/>
  <c r="C238" i="39" s="1"/>
  <c r="BD17" i="39"/>
  <c r="C17" i="39" s="1"/>
  <c r="BI119" i="39"/>
  <c r="W119" i="39" s="1"/>
  <c r="D305" i="39"/>
  <c r="BD154" i="39"/>
  <c r="C154" i="39" s="1"/>
  <c r="BI83" i="39"/>
  <c r="W83" i="39" s="1"/>
  <c r="D88" i="39"/>
  <c r="BD12" i="39"/>
  <c r="C12" i="39" s="1"/>
  <c r="BI252" i="39"/>
  <c r="W252" i="39" s="1"/>
  <c r="BD289" i="39"/>
  <c r="C289" i="39" s="1"/>
  <c r="BD170" i="39"/>
  <c r="C170" i="39" s="1"/>
  <c r="G130" i="39"/>
  <c r="BI46" i="39"/>
  <c r="W46" i="39" s="1"/>
  <c r="G167" i="39"/>
  <c r="BD164" i="39"/>
  <c r="C164" i="39" s="1"/>
  <c r="BI68" i="39"/>
  <c r="W68" i="39" s="1"/>
  <c r="G250" i="39"/>
  <c r="G241" i="39"/>
  <c r="D146" i="39"/>
  <c r="G259" i="39"/>
  <c r="BI165" i="39"/>
  <c r="W165" i="39" s="1"/>
  <c r="BI50" i="39"/>
  <c r="W50" i="39" s="1"/>
  <c r="BD322" i="39"/>
  <c r="C322" i="39" s="1"/>
  <c r="G103" i="39"/>
  <c r="G239" i="39"/>
  <c r="BD294" i="39"/>
  <c r="C294" i="39" s="1"/>
  <c r="BD307" i="39"/>
  <c r="C307" i="39" s="1"/>
  <c r="G171" i="39"/>
  <c r="G165" i="39"/>
  <c r="BI322" i="39"/>
  <c r="W322" i="39" s="1"/>
  <c r="G140" i="39"/>
  <c r="BD110" i="39"/>
  <c r="C110" i="39" s="1"/>
  <c r="D334" i="39"/>
  <c r="BD102" i="39"/>
  <c r="C102" i="39" s="1"/>
  <c r="BI229" i="39"/>
  <c r="W229" i="39" s="1"/>
  <c r="BD285" i="39"/>
  <c r="C285" i="39" s="1"/>
  <c r="BD135" i="39"/>
  <c r="C135" i="39" s="1"/>
  <c r="BI78" i="39"/>
  <c r="W78" i="39" s="1"/>
  <c r="BD85" i="39"/>
  <c r="C85" i="39" s="1"/>
  <c r="D158" i="39"/>
  <c r="D38" i="39"/>
  <c r="BD212" i="39"/>
  <c r="C212" i="39" s="1"/>
  <c r="G321" i="39"/>
  <c r="G286" i="39"/>
  <c r="D337" i="39"/>
  <c r="BD142" i="39"/>
  <c r="C142" i="39" s="1"/>
  <c r="D207" i="39"/>
  <c r="BD196" i="39"/>
  <c r="C196" i="39" s="1"/>
  <c r="G263" i="39"/>
  <c r="BI44" i="39"/>
  <c r="W44" i="39" s="1"/>
  <c r="D320" i="39"/>
  <c r="BD134" i="39"/>
  <c r="C134" i="39" s="1"/>
  <c r="BD321" i="39"/>
  <c r="C321" i="39" s="1"/>
  <c r="BD324" i="39"/>
  <c r="C324" i="39" s="1"/>
  <c r="BD148" i="39"/>
  <c r="C148" i="39" s="1"/>
  <c r="BI271" i="39"/>
  <c r="W271" i="39" s="1"/>
  <c r="BI245" i="39"/>
  <c r="W245" i="39" s="1"/>
  <c r="D164" i="39"/>
  <c r="BI131" i="39"/>
  <c r="W131" i="39" s="1"/>
  <c r="G220" i="39"/>
  <c r="G313" i="39"/>
  <c r="BI291" i="39"/>
  <c r="G116" i="39"/>
  <c r="BI37" i="39"/>
  <c r="W37" i="39" s="1"/>
  <c r="D46" i="39"/>
  <c r="D48" i="39"/>
  <c r="G66" i="39"/>
  <c r="BD201" i="39"/>
  <c r="C201" i="39" s="1"/>
  <c r="BI16" i="39"/>
  <c r="W16" i="39" s="1"/>
  <c r="D286" i="39"/>
  <c r="D288" i="39"/>
  <c r="BI122" i="39"/>
  <c r="W122" i="39" s="1"/>
  <c r="BD222" i="39"/>
  <c r="C222" i="39" s="1"/>
  <c r="D318" i="39"/>
  <c r="G331" i="39"/>
  <c r="D18" i="39"/>
  <c r="BI296" i="39"/>
  <c r="W296" i="39" s="1"/>
  <c r="G293" i="39"/>
  <c r="BD174" i="39"/>
  <c r="C174" i="39" s="1"/>
  <c r="BD181" i="39"/>
  <c r="C181" i="39" s="1"/>
  <c r="G155" i="39"/>
  <c r="G144" i="39"/>
  <c r="D308" i="39"/>
  <c r="BI65" i="39"/>
  <c r="W65" i="39" s="1"/>
  <c r="BI194" i="39"/>
  <c r="W194" i="39" s="1"/>
  <c r="G267" i="39"/>
  <c r="BI179" i="39"/>
  <c r="W179" i="39" s="1"/>
  <c r="D94" i="39"/>
  <c r="G117" i="39"/>
  <c r="D144" i="39"/>
  <c r="G300" i="39"/>
  <c r="D74" i="39"/>
  <c r="G89" i="39"/>
  <c r="BI87" i="39"/>
  <c r="W87" i="39" s="1"/>
  <c r="BI170" i="39"/>
  <c r="W170" i="39" s="1"/>
  <c r="BI96" i="39"/>
  <c r="W96" i="39" s="1"/>
  <c r="G333" i="39"/>
  <c r="BI246" i="39"/>
  <c r="W246" i="39" s="1"/>
  <c r="D245" i="39"/>
  <c r="D313" i="39"/>
  <c r="BD37" i="39"/>
  <c r="C37" i="39" s="1"/>
  <c r="G142" i="39"/>
  <c r="BD245" i="39"/>
  <c r="C245" i="39" s="1"/>
  <c r="BI176" i="39"/>
  <c r="W176" i="39" s="1"/>
  <c r="D324" i="39"/>
  <c r="BD131" i="39"/>
  <c r="C131" i="39" s="1"/>
  <c r="G64" i="39"/>
  <c r="BI192" i="39"/>
  <c r="W192" i="39" s="1"/>
  <c r="G97" i="39"/>
  <c r="G337" i="39"/>
  <c r="BI130" i="39"/>
  <c r="W130" i="39" s="1"/>
  <c r="BI334" i="39"/>
  <c r="W334" i="39" s="1"/>
  <c r="BD162" i="39"/>
  <c r="C162" i="39" s="1"/>
  <c r="BD128" i="39"/>
  <c r="C128" i="39" s="1"/>
  <c r="D175" i="39"/>
  <c r="BD317" i="39"/>
  <c r="C317" i="39" s="1"/>
  <c r="BI64" i="39"/>
  <c r="W64" i="39" s="1"/>
  <c r="BI331" i="39"/>
  <c r="W331" i="39" s="1"/>
  <c r="BD140" i="39"/>
  <c r="C140" i="39" s="1"/>
  <c r="D231" i="39"/>
  <c r="BI111" i="39"/>
  <c r="W111" i="39" s="1"/>
  <c r="G176" i="39"/>
  <c r="BI88" i="39"/>
  <c r="W88" i="39" s="1"/>
  <c r="BD200" i="39"/>
  <c r="C200" i="39" s="1"/>
  <c r="D148" i="39"/>
  <c r="BD211" i="39"/>
  <c r="C211" i="39" s="1"/>
  <c r="BI301" i="39"/>
  <c r="W301" i="39" s="1"/>
  <c r="G261" i="39"/>
  <c r="BD190" i="39"/>
  <c r="C190" i="39" s="1"/>
  <c r="G156" i="39"/>
  <c r="BI225" i="39"/>
  <c r="W225" i="39" s="1"/>
  <c r="D218" i="39"/>
  <c r="G285" i="39"/>
  <c r="BI319" i="39"/>
  <c r="W319" i="39" s="1"/>
  <c r="BD320" i="39"/>
  <c r="C320" i="39" s="1"/>
  <c r="D258" i="39"/>
  <c r="D121" i="39"/>
  <c r="BI320" i="39"/>
  <c r="W320" i="39" s="1"/>
  <c r="BI294" i="39"/>
  <c r="W294" i="39" s="1"/>
  <c r="G78" i="39"/>
  <c r="D317" i="39"/>
  <c r="BD310" i="39"/>
  <c r="C310" i="39" s="1"/>
  <c r="G106" i="39"/>
  <c r="D103" i="39"/>
  <c r="BI256" i="39"/>
  <c r="W256" i="39" s="1"/>
  <c r="D70" i="39"/>
  <c r="D64" i="39"/>
  <c r="BD187" i="39"/>
  <c r="C187" i="39" s="1"/>
  <c r="BI259" i="39"/>
  <c r="W259" i="39" s="1"/>
  <c r="D184" i="39"/>
  <c r="BI321" i="39"/>
  <c r="W321" i="39" s="1"/>
  <c r="G73" i="39"/>
  <c r="BD192" i="39"/>
  <c r="C192" i="39" s="1"/>
  <c r="BD291" i="39"/>
  <c r="C291" i="39" s="1"/>
  <c r="G262" i="39"/>
  <c r="BI163" i="39"/>
  <c r="W163" i="39" s="1"/>
  <c r="D196" i="39"/>
  <c r="G243" i="39"/>
  <c r="BD78" i="39"/>
  <c r="C78" i="39" s="1"/>
  <c r="D340" i="39"/>
  <c r="G325" i="39"/>
  <c r="D240" i="39"/>
  <c r="BD42" i="39"/>
  <c r="C42" i="39" s="1"/>
  <c r="BD77" i="39"/>
  <c r="C77" i="39" s="1"/>
  <c r="D181" i="39"/>
  <c r="BI281" i="39"/>
  <c r="W281" i="39" s="1"/>
  <c r="G222" i="39"/>
  <c r="BI134" i="39"/>
  <c r="W134" i="39" s="1"/>
  <c r="BI115" i="39"/>
  <c r="W115" i="39" s="1"/>
  <c r="G311" i="39"/>
  <c r="BD231" i="39"/>
  <c r="C231" i="39" s="1"/>
  <c r="BI48" i="39"/>
  <c r="W48" i="39" s="1"/>
  <c r="BD220" i="39"/>
  <c r="C220" i="39" s="1"/>
  <c r="BI158" i="39"/>
  <c r="D99" i="39"/>
  <c r="BI241" i="39"/>
  <c r="W241" i="39" s="1"/>
  <c r="BD226" i="39"/>
  <c r="C226" i="39" s="1"/>
  <c r="D81" i="39"/>
  <c r="BI302" i="39"/>
  <c r="W302" i="39" s="1"/>
  <c r="G280" i="39"/>
  <c r="BI70" i="39"/>
  <c r="W70" i="39" s="1"/>
  <c r="G42" i="39"/>
  <c r="BD329" i="39"/>
  <c r="C329" i="39" s="1"/>
  <c r="BO81" i="39"/>
  <c r="BR81" i="39"/>
  <c r="BN81" i="39"/>
  <c r="BU81" i="39"/>
  <c r="BM81" i="39"/>
  <c r="BP81" i="39"/>
  <c r="BT81" i="39"/>
  <c r="BS81" i="39"/>
  <c r="BQ81" i="39"/>
  <c r="BK81" i="39"/>
  <c r="BF81" i="39" s="1" a="1"/>
  <c r="BF81" i="39" s="1"/>
  <c r="BL81" i="39"/>
  <c r="BV81" i="39"/>
  <c r="G128" i="39"/>
  <c r="D330" i="39"/>
  <c r="D280" i="39"/>
  <c r="BD311" i="39"/>
  <c r="C311" i="39" s="1"/>
  <c r="D292" i="39"/>
  <c r="BD147" i="39"/>
  <c r="C147" i="39" s="1"/>
  <c r="G18" i="39"/>
  <c r="D43" i="39"/>
  <c r="BI330" i="39"/>
  <c r="W330" i="39" s="1"/>
  <c r="BD139" i="39"/>
  <c r="C139" i="39" s="1"/>
  <c r="BD80" i="39"/>
  <c r="C80" i="39" s="1"/>
  <c r="G129" i="39"/>
  <c r="D295" i="39"/>
  <c r="D198" i="39"/>
  <c r="G324" i="39"/>
  <c r="BI112" i="39"/>
  <c r="W112" i="39" s="1"/>
  <c r="BD230" i="39"/>
  <c r="C230" i="39" s="1"/>
  <c r="BD169" i="39"/>
  <c r="C169" i="39" s="1"/>
  <c r="BI251" i="39"/>
  <c r="W251" i="39" s="1"/>
  <c r="G180" i="39"/>
  <c r="BD188" i="39"/>
  <c r="C188" i="39" s="1"/>
  <c r="D190" i="39"/>
  <c r="G258" i="39"/>
  <c r="BD152" i="39"/>
  <c r="C152" i="39" s="1"/>
  <c r="G50" i="39"/>
  <c r="G36" i="39"/>
  <c r="D83" i="39"/>
  <c r="G147" i="39"/>
  <c r="D268" i="39"/>
  <c r="G83" i="39"/>
  <c r="G221" i="39"/>
  <c r="D291" i="39"/>
  <c r="BD288" i="39"/>
  <c r="C288" i="39" s="1"/>
  <c r="BI172" i="39"/>
  <c r="W172" i="39" s="1"/>
  <c r="D122" i="39"/>
  <c r="BD299" i="39"/>
  <c r="C299" i="39" s="1"/>
  <c r="D215" i="39"/>
  <c r="G288" i="39"/>
  <c r="G151" i="39"/>
  <c r="BI124" i="39"/>
  <c r="W124" i="39" s="1"/>
  <c r="BL340" i="39"/>
  <c r="BN340" i="39"/>
  <c r="BG340" i="39" s="1" a="1"/>
  <c r="BG340" i="39" s="1"/>
  <c r="BQ340" i="39"/>
  <c r="BM340" i="39"/>
  <c r="BP340" i="39"/>
  <c r="BR340" i="39"/>
  <c r="BK340" i="39"/>
  <c r="BO340" i="39"/>
  <c r="BS340" i="39"/>
  <c r="BV340" i="39"/>
  <c r="BT340" i="39"/>
  <c r="BU340" i="39"/>
  <c r="BI215" i="39"/>
  <c r="W215" i="39" s="1"/>
  <c r="D155" i="39"/>
  <c r="G217" i="39"/>
  <c r="BI154" i="39"/>
  <c r="W154" i="39" s="1"/>
  <c r="BI102" i="39"/>
  <c r="BI268" i="39"/>
  <c r="W268" i="39" s="1"/>
  <c r="BD105" i="39"/>
  <c r="C105" i="39" s="1"/>
  <c r="BD89" i="39"/>
  <c r="C89" i="39" s="1"/>
  <c r="BI164" i="39"/>
  <c r="W164" i="39" s="1"/>
  <c r="BI146" i="39"/>
  <c r="W146" i="39" s="1"/>
  <c r="G319" i="39"/>
  <c r="BI144" i="39"/>
  <c r="W144" i="39" s="1"/>
  <c r="D13" i="39"/>
  <c r="D124" i="39"/>
  <c r="BD40" i="39"/>
  <c r="C40" i="39" s="1"/>
  <c r="D220" i="39"/>
  <c r="D212" i="39"/>
  <c r="G182" i="39"/>
  <c r="G224" i="39"/>
  <c r="D106" i="39"/>
  <c r="D329" i="39"/>
  <c r="BI218" i="39"/>
  <c r="W218" i="39" s="1"/>
  <c r="BD301" i="39"/>
  <c r="C301" i="39" s="1"/>
  <c r="D326" i="39"/>
  <c r="G164" i="39"/>
  <c r="BD38" i="39"/>
  <c r="C38" i="39" s="1"/>
  <c r="G112" i="39"/>
  <c r="D301" i="39"/>
  <c r="BI128" i="39"/>
  <c r="BD217" i="39"/>
  <c r="C217" i="39" s="1"/>
  <c r="D171" i="39"/>
  <c r="BD66" i="39"/>
  <c r="C66" i="39" s="1"/>
  <c r="BI140" i="39"/>
  <c r="W140" i="39" s="1"/>
  <c r="BD323" i="39"/>
  <c r="C323" i="39" s="1"/>
  <c r="D17" i="39"/>
  <c r="BI109" i="39"/>
  <c r="W109" i="39" s="1"/>
  <c r="G332" i="39"/>
  <c r="BI260" i="39"/>
  <c r="W260" i="39" s="1"/>
  <c r="G218" i="39"/>
  <c r="D259" i="39"/>
  <c r="BD95" i="39"/>
  <c r="C95" i="39" s="1"/>
  <c r="BI149" i="39"/>
  <c r="W149" i="39" s="1"/>
  <c r="BI184" i="39"/>
  <c r="W184" i="39" s="1"/>
  <c r="BD90" i="39"/>
  <c r="C90" i="39" s="1"/>
  <c r="BD332" i="39"/>
  <c r="C332" i="39" s="1"/>
  <c r="BI14" i="39"/>
  <c r="W14" i="39" s="1"/>
  <c r="D19" i="39"/>
  <c r="D232" i="39"/>
  <c r="BI214" i="39"/>
  <c r="W214" i="39" s="1"/>
  <c r="G298" i="39"/>
  <c r="D226" i="39"/>
  <c r="G122" i="39"/>
  <c r="BI155" i="39"/>
  <c r="W155" i="39" s="1"/>
  <c r="G170" i="39"/>
  <c r="BI186" i="39"/>
  <c r="W186" i="39" s="1"/>
  <c r="G201" i="39"/>
  <c r="BD68" i="39"/>
  <c r="C68" i="39" s="1"/>
  <c r="BD165" i="39"/>
  <c r="C165" i="39" s="1"/>
  <c r="G225" i="39"/>
  <c r="BI201" i="39"/>
  <c r="W201" i="39" s="1"/>
  <c r="D255" i="39"/>
  <c r="G108" i="39"/>
  <c r="G238" i="39"/>
  <c r="D224" i="39"/>
  <c r="D262" i="39"/>
  <c r="BD339" i="39"/>
  <c r="C339" i="39" s="1"/>
  <c r="BI76" i="39"/>
  <c r="W76" i="39" s="1"/>
  <c r="D249" i="39"/>
  <c r="BI254" i="39"/>
  <c r="G271" i="39"/>
  <c r="G17" i="39"/>
  <c r="G306" i="39"/>
  <c r="G74" i="39"/>
  <c r="G215" i="39"/>
  <c r="G256" i="39"/>
  <c r="G318" i="39"/>
  <c r="BI188" i="39"/>
  <c r="W188" i="39" s="1"/>
  <c r="BI247" i="39"/>
  <c r="W247" i="39" s="1"/>
  <c r="G205" i="39"/>
  <c r="G110" i="39"/>
  <c r="BI40" i="39"/>
  <c r="W40" i="39" s="1"/>
  <c r="D299" i="39"/>
  <c r="BI182" i="39"/>
  <c r="W182" i="39" s="1"/>
  <c r="D208" i="39"/>
  <c r="BI303" i="39"/>
  <c r="W303" i="39" s="1"/>
  <c r="D339" i="39"/>
  <c r="G232" i="39"/>
  <c r="BI203" i="39"/>
  <c r="W203" i="39" s="1"/>
  <c r="G299" i="39"/>
  <c r="BD41" i="39"/>
  <c r="C41" i="39" s="1"/>
  <c r="BI77" i="39"/>
  <c r="W77" i="39" s="1"/>
  <c r="BI299" i="39"/>
  <c r="W299" i="39" s="1"/>
  <c r="G236" i="39"/>
  <c r="D156" i="39"/>
  <c r="BI17" i="39"/>
  <c r="W17" i="39" s="1"/>
  <c r="BD213" i="39"/>
  <c r="C213" i="39" s="1"/>
  <c r="BI204" i="39"/>
  <c r="W204" i="39" s="1"/>
  <c r="BI150" i="39"/>
  <c r="W150" i="39" s="1"/>
  <c r="BI86" i="39"/>
  <c r="W86" i="39" s="1"/>
  <c r="D154" i="39"/>
  <c r="D191" i="39"/>
  <c r="D322" i="39"/>
  <c r="D174" i="39"/>
  <c r="G303" i="39"/>
  <c r="BD267" i="39"/>
  <c r="C267" i="39" s="1"/>
  <c r="D260" i="39"/>
  <c r="D41" i="39"/>
  <c r="G90" i="39"/>
  <c r="D49" i="39"/>
  <c r="G41" i="39"/>
  <c r="G249" i="39"/>
  <c r="BI236" i="39"/>
  <c r="W236" i="39" s="1"/>
  <c r="BI325" i="39"/>
  <c r="W325" i="39" s="1"/>
  <c r="BI298" i="39"/>
  <c r="W298" i="39" s="1"/>
  <c r="BT110" i="39"/>
  <c r="BL110" i="39"/>
  <c r="BV110" i="39"/>
  <c r="BS110" i="39"/>
  <c r="BN110" i="39"/>
  <c r="BP110" i="39"/>
  <c r="BK110" i="39"/>
  <c r="BM110" i="39"/>
  <c r="BG110" i="39" s="1" a="1"/>
  <c r="BG110" i="39" s="1"/>
  <c r="BR110" i="39"/>
  <c r="BO110" i="39"/>
  <c r="BQ110" i="39"/>
  <c r="BU110" i="39"/>
  <c r="D333" i="39"/>
  <c r="BI156" i="39"/>
  <c r="W156" i="39" s="1"/>
  <c r="BF187" i="39" a="1"/>
  <c r="BF187" i="39" s="1"/>
  <c r="G187" i="39"/>
  <c r="BG187" i="39" a="1"/>
  <c r="BG187" i="39" s="1"/>
  <c r="I187" i="39" s="1"/>
  <c r="D14" i="39"/>
  <c r="G126" i="39"/>
  <c r="BD243" i="39"/>
  <c r="C243" i="39" s="1"/>
  <c r="D186" i="39"/>
  <c r="BD260" i="39"/>
  <c r="C260" i="39" s="1"/>
  <c r="BI222" i="39"/>
  <c r="W222" i="39" s="1"/>
  <c r="D225" i="39"/>
  <c r="G305" i="39"/>
  <c r="D111" i="39"/>
  <c r="BD185" i="39"/>
  <c r="C185" i="39" s="1"/>
  <c r="BI108" i="39"/>
  <c r="W108" i="39" s="1"/>
  <c r="D179" i="39"/>
  <c r="D119" i="39"/>
  <c r="BD143" i="39"/>
  <c r="C143" i="39" s="1"/>
  <c r="BD36" i="39"/>
  <c r="C36" i="39" s="1"/>
  <c r="G322" i="39"/>
  <c r="D140" i="39"/>
  <c r="BD223" i="39"/>
  <c r="C223" i="39" s="1"/>
  <c r="D47" i="39"/>
  <c r="G149" i="39"/>
  <c r="BD269" i="39"/>
  <c r="C269" i="39" s="1"/>
  <c r="D302" i="39"/>
  <c r="D185" i="39"/>
  <c r="G310" i="39"/>
  <c r="BD298" i="39"/>
  <c r="C298" i="39" s="1"/>
  <c r="G242" i="39"/>
  <c r="G204" i="39"/>
  <c r="BD191" i="39"/>
  <c r="C191" i="39" s="1"/>
  <c r="G326" i="39"/>
  <c r="G339" i="39"/>
  <c r="G203" i="39"/>
  <c r="G111" i="39"/>
  <c r="BI224" i="39"/>
  <c r="W224" i="39" s="1"/>
  <c r="BD71" i="39"/>
  <c r="C71" i="39" s="1"/>
  <c r="BD221" i="39"/>
  <c r="C221" i="39" s="1"/>
  <c r="BI292" i="39"/>
  <c r="W292" i="39" s="1"/>
  <c r="G208" i="39"/>
  <c r="BD160" i="39"/>
  <c r="C160" i="39" s="1"/>
  <c r="D123" i="39"/>
  <c r="G45" i="39"/>
  <c r="G312" i="39"/>
  <c r="D90" i="39"/>
  <c r="BD219" i="39"/>
  <c r="C219" i="39" s="1"/>
  <c r="BD237" i="39"/>
  <c r="C237" i="39" s="1"/>
  <c r="BD247" i="39"/>
  <c r="C247" i="39" s="1"/>
  <c r="BI220" i="39"/>
  <c r="W220" i="39" s="1"/>
  <c r="G37" i="39"/>
  <c r="G270" i="39"/>
  <c r="BI41" i="39"/>
  <c r="W41" i="39" s="1"/>
  <c r="D250" i="39"/>
  <c r="BD168" i="39"/>
  <c r="C168" i="39" s="1"/>
  <c r="BD109" i="39"/>
  <c r="C109" i="39" s="1"/>
  <c r="D303" i="39"/>
  <c r="BI262" i="39"/>
  <c r="W262" i="39" s="1"/>
  <c r="D170" i="39"/>
  <c r="BI231" i="39"/>
  <c r="W231" i="39" s="1"/>
  <c r="G323" i="39"/>
  <c r="BD44" i="39"/>
  <c r="C44" i="39" s="1"/>
  <c r="BI232" i="39"/>
  <c r="W232" i="39" s="1"/>
  <c r="D254" i="39"/>
  <c r="BD182" i="39"/>
  <c r="C182" i="39" s="1"/>
  <c r="BI80" i="39"/>
  <c r="W80" i="39" s="1"/>
  <c r="D188" i="39"/>
  <c r="D73" i="39"/>
  <c r="BI42" i="39"/>
  <c r="W42" i="39" s="1"/>
  <c r="D216" i="39"/>
  <c r="D298" i="39"/>
  <c r="BD338" i="39"/>
  <c r="C338" i="39" s="1"/>
  <c r="BD250" i="39"/>
  <c r="C250" i="39" s="1"/>
  <c r="BD214" i="39"/>
  <c r="C214" i="39" s="1"/>
  <c r="D85" i="39"/>
  <c r="BD318" i="39"/>
  <c r="C318" i="39" s="1"/>
  <c r="BD43" i="39"/>
  <c r="C43" i="39" s="1"/>
  <c r="BD225" i="39"/>
  <c r="C225" i="39" s="1"/>
  <c r="D219" i="39"/>
  <c r="BI162" i="39"/>
  <c r="W162" i="39" s="1"/>
  <c r="BD218" i="39"/>
  <c r="C218" i="39" s="1"/>
  <c r="BD292" i="39"/>
  <c r="C292" i="39" s="1"/>
  <c r="G132" i="39"/>
  <c r="BD300" i="39"/>
  <c r="C300" i="39" s="1"/>
  <c r="BI207" i="39"/>
  <c r="BD242" i="39"/>
  <c r="C242" i="39" s="1"/>
  <c r="G40" i="39"/>
  <c r="BI159" i="39"/>
  <c r="W159" i="39" s="1"/>
  <c r="BI328" i="39"/>
  <c r="W328" i="39" s="1"/>
  <c r="G301" i="39"/>
  <c r="D328" i="39"/>
  <c r="G77" i="39"/>
  <c r="BD308" i="39"/>
  <c r="C308" i="39" s="1"/>
  <c r="G289" i="39"/>
  <c r="BI43" i="39"/>
  <c r="W43" i="39" s="1"/>
  <c r="G148" i="39"/>
  <c r="BI300" i="39"/>
  <c r="W300" i="39" s="1"/>
  <c r="BI187" i="39"/>
  <c r="W187" i="39" s="1"/>
  <c r="D108" i="39"/>
  <c r="BI340" i="39"/>
  <c r="W340" i="39" s="1"/>
  <c r="D239" i="39"/>
  <c r="BI339" i="39"/>
  <c r="W339" i="39" s="1"/>
  <c r="BI169" i="39"/>
  <c r="W169" i="39" s="1"/>
  <c r="G194" i="39"/>
  <c r="D165" i="39"/>
  <c r="D116" i="39"/>
  <c r="BD286" i="39"/>
  <c r="C286" i="39" s="1"/>
  <c r="BD208" i="39"/>
  <c r="C208" i="39" s="1"/>
  <c r="BI333" i="39"/>
  <c r="W333" i="39" s="1"/>
  <c r="D197" i="39"/>
  <c r="D77" i="39"/>
  <c r="D223" i="39"/>
  <c r="BI180" i="39"/>
  <c r="W180" i="39" s="1"/>
  <c r="G44" i="39"/>
  <c r="BD252" i="39"/>
  <c r="C252" i="39" s="1"/>
  <c r="G159" i="39"/>
  <c r="BI167" i="39"/>
  <c r="BI38" i="39"/>
  <c r="W38" i="39" s="1"/>
  <c r="BD116" i="39"/>
  <c r="C116" i="39" s="1"/>
  <c r="G107" i="39"/>
  <c r="G70" i="39"/>
  <c r="G160" i="39"/>
  <c r="D141" i="39"/>
  <c r="BI99" i="39"/>
  <c r="W99" i="39" s="1"/>
  <c r="D95" i="39"/>
  <c r="D110" i="39"/>
  <c r="BD76" i="39"/>
  <c r="C76" i="39" s="1"/>
  <c r="BD293" i="39"/>
  <c r="C293" i="39" s="1"/>
  <c r="BD183" i="39"/>
  <c r="C183" i="39" s="1"/>
  <c r="D243" i="39"/>
  <c r="BD86" i="39"/>
  <c r="C86" i="39" s="1"/>
  <c r="D283" i="39"/>
  <c r="G328" i="39"/>
  <c r="BI126" i="39"/>
  <c r="W126" i="39" s="1"/>
  <c r="BI191" i="39"/>
  <c r="W191" i="39" s="1"/>
  <c r="BD48" i="39"/>
  <c r="C48" i="39" s="1"/>
  <c r="G223" i="39"/>
  <c r="D80" i="39"/>
  <c r="BD19" i="39"/>
  <c r="C19" i="39" s="1"/>
  <c r="D79" i="39"/>
  <c r="D336" i="39"/>
  <c r="BD261" i="39"/>
  <c r="C261" i="39" s="1"/>
  <c r="BD49" i="39"/>
  <c r="C49" i="39" s="1"/>
  <c r="BD151" i="39"/>
  <c r="C151" i="39" s="1"/>
  <c r="G43" i="39"/>
  <c r="D132" i="39"/>
  <c r="G302" i="39"/>
  <c r="BD73" i="39"/>
  <c r="C73" i="39" s="1"/>
  <c r="BI190" i="39"/>
  <c r="W190" i="39" s="1"/>
  <c r="BD118" i="39"/>
  <c r="C118" i="39" s="1"/>
  <c r="D214" i="39"/>
  <c r="D149" i="39"/>
  <c r="G102" i="39"/>
  <c r="G202" i="39"/>
  <c r="D187" i="39"/>
  <c r="G139" i="39"/>
  <c r="G281" i="39"/>
  <c r="BI181" i="39"/>
  <c r="W181" i="39" s="1"/>
  <c r="G308" i="39"/>
  <c r="G199" i="39"/>
  <c r="BD283" i="39"/>
  <c r="C283" i="39" s="1"/>
  <c r="BI239" i="39"/>
  <c r="W239" i="39" s="1"/>
  <c r="BI185" i="39"/>
  <c r="W185" i="39" s="1"/>
  <c r="D319" i="39"/>
  <c r="G336" i="39"/>
  <c r="BF188" i="39" a="1"/>
  <c r="BF188" i="39" s="1"/>
  <c r="BG188" i="39" a="1"/>
  <c r="BG188" i="39" s="1"/>
  <c r="I188" i="39" s="1"/>
  <c r="G188" i="39"/>
  <c r="D241" i="39"/>
  <c r="BD195" i="39"/>
  <c r="C195" i="39" s="1"/>
  <c r="G212" i="39"/>
  <c r="BD215" i="39"/>
  <c r="C215" i="39" s="1"/>
  <c r="BI196" i="39"/>
  <c r="W196" i="39" s="1"/>
  <c r="BI49" i="39"/>
  <c r="W49" i="39" s="1"/>
  <c r="D152" i="39"/>
  <c r="G114" i="39"/>
  <c r="BD112" i="39"/>
  <c r="C112" i="39" s="1"/>
  <c r="BD337" i="39"/>
  <c r="C337" i="39" s="1"/>
  <c r="D71" i="39"/>
  <c r="D65" i="39"/>
  <c r="BD236" i="39"/>
  <c r="C236" i="39" s="1"/>
  <c r="BI141" i="39"/>
  <c r="W141" i="39" s="1"/>
  <c r="BD303" i="39"/>
  <c r="C303" i="39" s="1"/>
  <c r="BD153" i="39"/>
  <c r="C153" i="39" s="1"/>
  <c r="BD123" i="39"/>
  <c r="C123" i="39" s="1"/>
  <c r="D300" i="39"/>
  <c r="D93" i="39"/>
  <c r="BI118" i="39"/>
  <c r="W118" i="39" s="1"/>
  <c r="G38" i="39"/>
  <c r="G146" i="39"/>
  <c r="D109" i="39"/>
  <c r="BF110" i="39" a="1"/>
  <c r="BF110" i="39" s="1"/>
  <c r="AV187" i="39"/>
  <c r="E187" i="39" s="1"/>
  <c r="BI113" i="39"/>
  <c r="W113" i="39" s="1"/>
  <c r="BI327" i="39"/>
  <c r="M49" i="6" s="1"/>
  <c r="L42" i="55" s="1"/>
  <c r="BI210" i="39"/>
  <c r="W210" i="39" s="1"/>
  <c r="W102" i="39"/>
  <c r="BI101" i="39"/>
  <c r="W167" i="39"/>
  <c r="BI166" i="39"/>
  <c r="W254" i="39"/>
  <c r="BF340" i="39" a="1"/>
  <c r="BF340" i="39" s="1"/>
  <c r="W207" i="39"/>
  <c r="BI206" i="39"/>
  <c r="W128" i="39"/>
  <c r="W285" i="39"/>
  <c r="BI284" i="39"/>
  <c r="W305" i="39"/>
  <c r="W158" i="39"/>
  <c r="BI157" i="39"/>
  <c r="I190" i="39"/>
  <c r="AV190" i="39"/>
  <c r="E190" i="39" s="1"/>
  <c r="BG81" i="39" a="1"/>
  <c r="BG81" i="39" s="1"/>
  <c r="W291" i="39"/>
  <c r="W121" i="39"/>
  <c r="BI120" i="39"/>
  <c r="W12" i="39"/>
  <c r="W137" i="39"/>
  <c r="BI136" i="39"/>
  <c r="W280" i="39"/>
  <c r="W105" i="39"/>
  <c r="BI104" i="39"/>
  <c r="W249" i="39"/>
  <c r="BH51" i="39"/>
  <c r="J51" i="39" s="1"/>
  <c r="J52" i="39"/>
  <c r="BM305" i="39"/>
  <c r="BU305" i="39"/>
  <c r="BT305" i="39"/>
  <c r="BO134" i="39"/>
  <c r="BS134" i="39"/>
  <c r="BP134" i="39"/>
  <c r="BK38" i="39"/>
  <c r="BL38" i="39"/>
  <c r="BP38" i="39"/>
  <c r="BT310" i="39"/>
  <c r="BK310" i="39"/>
  <c r="BU310" i="39"/>
  <c r="BQ286" i="39"/>
  <c r="BM286" i="39"/>
  <c r="BS286" i="39"/>
  <c r="BR259" i="39"/>
  <c r="BK259" i="39"/>
  <c r="BS259" i="39"/>
  <c r="BM193" i="39"/>
  <c r="BS193" i="39"/>
  <c r="BV193" i="39"/>
  <c r="BP149" i="39"/>
  <c r="BO149" i="39"/>
  <c r="BK149" i="39"/>
  <c r="BU112" i="39"/>
  <c r="BO112" i="39"/>
  <c r="BK112" i="39"/>
  <c r="BR171" i="39"/>
  <c r="BP171" i="39"/>
  <c r="BK171" i="39"/>
  <c r="BO128" i="39"/>
  <c r="BK128" i="39"/>
  <c r="BS128" i="39"/>
  <c r="BQ296" i="39"/>
  <c r="BN296" i="39"/>
  <c r="BL296" i="39"/>
  <c r="BN270" i="39"/>
  <c r="BP270" i="39"/>
  <c r="BM270" i="39"/>
  <c r="BS94" i="39"/>
  <c r="BR94" i="39"/>
  <c r="BL94" i="39"/>
  <c r="BO232" i="39"/>
  <c r="BU232" i="39"/>
  <c r="BP232" i="39"/>
  <c r="BL49" i="39"/>
  <c r="BU49" i="39"/>
  <c r="BR49" i="39"/>
  <c r="BR301" i="39"/>
  <c r="BL301" i="39"/>
  <c r="BN301" i="39"/>
  <c r="BN312" i="39"/>
  <c r="BK312" i="39"/>
  <c r="BS312" i="39"/>
  <c r="BU271" i="39"/>
  <c r="BK271" i="39"/>
  <c r="BL271" i="39"/>
  <c r="BS231" i="39"/>
  <c r="BO231" i="39"/>
  <c r="BK231" i="39"/>
  <c r="BK137" i="39"/>
  <c r="BL137" i="39"/>
  <c r="BU137" i="39"/>
  <c r="BT338" i="39"/>
  <c r="BQ338" i="39"/>
  <c r="BO338" i="39"/>
  <c r="BS68" i="39"/>
  <c r="BK68" i="39"/>
  <c r="BQ68" i="39"/>
  <c r="BN126" i="39"/>
  <c r="BV126" i="39"/>
  <c r="BK126" i="39"/>
  <c r="BU39" i="39"/>
  <c r="BT39" i="39"/>
  <c r="BV39" i="39"/>
  <c r="BK87" i="39"/>
  <c r="BP87" i="39"/>
  <c r="BO87" i="39"/>
  <c r="BL252" i="39"/>
  <c r="BQ252" i="39"/>
  <c r="BS252" i="39"/>
  <c r="BV118" i="39"/>
  <c r="BK118" i="39"/>
  <c r="BT118" i="39"/>
  <c r="BP46" i="39"/>
  <c r="BV46" i="39"/>
  <c r="BK46" i="39"/>
  <c r="BQ182" i="39"/>
  <c r="BM182" i="39"/>
  <c r="BU182" i="39"/>
  <c r="BK243" i="39"/>
  <c r="BQ243" i="39"/>
  <c r="BU243" i="39"/>
  <c r="BV212" i="39"/>
  <c r="BL212" i="39"/>
  <c r="BR212" i="39"/>
  <c r="BV178" i="39"/>
  <c r="BU178" i="39"/>
  <c r="BN178" i="39"/>
  <c r="BN204" i="39"/>
  <c r="BQ204" i="39"/>
  <c r="BR204" i="39"/>
  <c r="BN71" i="39"/>
  <c r="BQ71" i="39"/>
  <c r="BU71" i="39"/>
  <c r="BQ17" i="39"/>
  <c r="BK17" i="39"/>
  <c r="BS17" i="39"/>
  <c r="BM261" i="39"/>
  <c r="BS261" i="39"/>
  <c r="BK261" i="39"/>
  <c r="BT203" i="39"/>
  <c r="BU203" i="39"/>
  <c r="BM203" i="39"/>
  <c r="BL211" i="39"/>
  <c r="BO211" i="39"/>
  <c r="BR211" i="39"/>
  <c r="BP322" i="39"/>
  <c r="BU322" i="39"/>
  <c r="BQ322" i="39"/>
  <c r="BQ205" i="39"/>
  <c r="BM205" i="39"/>
  <c r="BR205" i="39"/>
  <c r="BP209" i="39"/>
  <c r="BT209" i="39"/>
  <c r="BV209" i="39"/>
  <c r="BR319" i="39"/>
  <c r="BQ319" i="39"/>
  <c r="BM319" i="39"/>
  <c r="BK236" i="39"/>
  <c r="BQ236" i="39"/>
  <c r="BS236" i="39"/>
  <c r="BM131" i="39"/>
  <c r="BQ131" i="39"/>
  <c r="BU131" i="39"/>
  <c r="BR95" i="39"/>
  <c r="BP95" i="39"/>
  <c r="BQ95" i="39"/>
  <c r="BO283" i="39"/>
  <c r="BT283" i="39"/>
  <c r="BL283" i="39"/>
  <c r="BT249" i="39"/>
  <c r="BL249" i="39"/>
  <c r="BO249" i="39"/>
  <c r="BS185" i="39"/>
  <c r="BM185" i="39"/>
  <c r="BP185" i="39"/>
  <c r="BR143" i="39"/>
  <c r="BV143" i="39"/>
  <c r="BS143" i="39"/>
  <c r="BP183" i="39"/>
  <c r="BL183" i="39"/>
  <c r="BT183" i="39"/>
  <c r="BU228" i="39"/>
  <c r="BN228" i="39"/>
  <c r="BR228" i="39"/>
  <c r="BO329" i="39"/>
  <c r="BM329" i="39"/>
  <c r="BP329" i="39"/>
  <c r="BM281" i="39"/>
  <c r="BN281" i="39"/>
  <c r="BT281" i="39"/>
  <c r="BK105" i="39"/>
  <c r="BP105" i="39"/>
  <c r="BV105" i="39"/>
  <c r="BR151" i="39"/>
  <c r="BO151" i="39"/>
  <c r="BN151" i="39"/>
  <c r="BK254" i="39"/>
  <c r="BV254" i="39"/>
  <c r="BS254" i="39"/>
  <c r="BQ14" i="39"/>
  <c r="BS14" i="39"/>
  <c r="BL14" i="39"/>
  <c r="BQ154" i="39"/>
  <c r="BP154" i="39"/>
  <c r="BU154" i="39"/>
  <c r="BS291" i="39"/>
  <c r="BO291" i="39"/>
  <c r="BK291" i="39"/>
  <c r="BR12" i="39"/>
  <c r="BV12" i="39"/>
  <c r="BM12" i="39"/>
  <c r="BO161" i="39"/>
  <c r="BK161" i="39"/>
  <c r="BL161" i="39"/>
  <c r="BS48" i="39"/>
  <c r="BL48" i="39"/>
  <c r="BK48" i="39"/>
  <c r="BP132" i="39"/>
  <c r="BR132" i="39"/>
  <c r="BO132" i="39"/>
  <c r="BO332" i="39"/>
  <c r="BS332" i="39"/>
  <c r="BN332" i="39"/>
  <c r="BR195" i="39"/>
  <c r="BU195" i="39"/>
  <c r="BL195" i="39"/>
  <c r="BV160" i="39"/>
  <c r="BQ160" i="39"/>
  <c r="BO160" i="39"/>
  <c r="BT159" i="39"/>
  <c r="BN159" i="39"/>
  <c r="BV159" i="39"/>
  <c r="BL269" i="39"/>
  <c r="BT269" i="39"/>
  <c r="BN269" i="39"/>
  <c r="BQ169" i="39"/>
  <c r="BU169" i="39"/>
  <c r="BV169" i="39"/>
  <c r="BO90" i="39"/>
  <c r="BK90" i="39"/>
  <c r="BQ90" i="39"/>
  <c r="BU328" i="39"/>
  <c r="BT328" i="39"/>
  <c r="BP328" i="39"/>
  <c r="BS144" i="39"/>
  <c r="BL144" i="39"/>
  <c r="BQ144" i="39"/>
  <c r="BL156" i="39"/>
  <c r="BU156" i="39"/>
  <c r="BT156" i="39"/>
  <c r="BL146" i="39"/>
  <c r="BO146" i="39"/>
  <c r="BT146" i="39"/>
  <c r="BM175" i="39"/>
  <c r="BN175" i="39"/>
  <c r="BS175" i="39"/>
  <c r="BT50" i="39"/>
  <c r="BQ50" i="39"/>
  <c r="BR50" i="39"/>
  <c r="BL251" i="39"/>
  <c r="BU251" i="39"/>
  <c r="BK251" i="39"/>
  <c r="BT230" i="39"/>
  <c r="BV230" i="39"/>
  <c r="BQ230" i="39"/>
  <c r="BO288" i="39"/>
  <c r="BL288" i="39"/>
  <c r="BM288" i="39"/>
  <c r="BV255" i="39"/>
  <c r="BR255" i="39"/>
  <c r="BP255" i="39"/>
  <c r="BQ76" i="39"/>
  <c r="BK76" i="39"/>
  <c r="BN76" i="39"/>
  <c r="BS197" i="39"/>
  <c r="BV197" i="39"/>
  <c r="BU197" i="39"/>
  <c r="BN174" i="39"/>
  <c r="BV174" i="39"/>
  <c r="BS174" i="39"/>
  <c r="BV42" i="39"/>
  <c r="BU42" i="39"/>
  <c r="BO42" i="39"/>
  <c r="BT229" i="39"/>
  <c r="BR229" i="39"/>
  <c r="BP229" i="39"/>
  <c r="BV139" i="39"/>
  <c r="BT139" i="39"/>
  <c r="BN139" i="39"/>
  <c r="BV298" i="39"/>
  <c r="BS298" i="39"/>
  <c r="BK298" i="39"/>
  <c r="BQ150" i="39"/>
  <c r="BM150" i="39"/>
  <c r="BR150" i="39"/>
  <c r="BK116" i="39"/>
  <c r="BP116" i="39"/>
  <c r="BU116" i="39"/>
  <c r="BS306" i="39"/>
  <c r="BU306" i="39"/>
  <c r="BV306" i="39"/>
  <c r="BS147" i="39"/>
  <c r="BV147" i="39"/>
  <c r="BR147" i="39"/>
  <c r="BO85" i="39"/>
  <c r="BQ85" i="39"/>
  <c r="BV85" i="39"/>
  <c r="BN37" i="39"/>
  <c r="BO37" i="39"/>
  <c r="BR37" i="39"/>
  <c r="BK324" i="39"/>
  <c r="BS324" i="39"/>
  <c r="BL324" i="39"/>
  <c r="BO247" i="39"/>
  <c r="BP247" i="39"/>
  <c r="BL247" i="39"/>
  <c r="BK307" i="39"/>
  <c r="BQ307" i="39"/>
  <c r="BP307" i="39"/>
  <c r="BP86" i="39"/>
  <c r="BO86" i="39"/>
  <c r="BR86" i="39"/>
  <c r="BV129" i="39"/>
  <c r="BO129" i="39"/>
  <c r="BP129" i="39"/>
  <c r="BL172" i="39"/>
  <c r="BV172" i="39"/>
  <c r="BR172" i="39"/>
  <c r="BP268" i="39"/>
  <c r="BR268" i="39"/>
  <c r="BM268" i="39"/>
  <c r="BO15" i="39"/>
  <c r="BN15" i="39"/>
  <c r="BP15" i="39"/>
  <c r="BP165" i="39"/>
  <c r="BR165" i="39"/>
  <c r="BK165" i="39"/>
  <c r="BM16" i="39"/>
  <c r="BN16" i="39"/>
  <c r="BK16" i="39"/>
  <c r="BK141" i="39"/>
  <c r="BM141" i="39"/>
  <c r="BR141" i="39"/>
  <c r="BM168" i="39"/>
  <c r="BP168" i="39"/>
  <c r="BQ168" i="39"/>
  <c r="BL295" i="39"/>
  <c r="BQ295" i="39"/>
  <c r="BO295" i="39"/>
  <c r="BL176" i="39"/>
  <c r="BT176" i="39"/>
  <c r="BQ176" i="39"/>
  <c r="BR292" i="39"/>
  <c r="BQ292" i="39"/>
  <c r="BL292" i="39"/>
  <c r="BQ260" i="39"/>
  <c r="BU260" i="39"/>
  <c r="BM260" i="39"/>
  <c r="BQ158" i="39"/>
  <c r="BM158" i="39"/>
  <c r="BK158" i="39"/>
  <c r="BL65" i="39"/>
  <c r="BN65" i="39"/>
  <c r="BK65" i="39"/>
  <c r="BK19" i="39"/>
  <c r="BR19" i="39"/>
  <c r="BL19" i="39"/>
  <c r="BN256" i="39"/>
  <c r="BV256" i="39"/>
  <c r="BK256" i="39"/>
  <c r="BK89" i="39"/>
  <c r="BL89" i="39"/>
  <c r="BM89" i="39"/>
  <c r="BS135" i="39"/>
  <c r="BO135" i="39"/>
  <c r="BL135" i="39"/>
  <c r="BP122" i="39"/>
  <c r="BO122" i="39"/>
  <c r="BV122" i="39"/>
  <c r="BO66" i="39"/>
  <c r="BK66" i="39"/>
  <c r="BS66" i="39"/>
  <c r="BP96" i="39"/>
  <c r="BT96" i="39"/>
  <c r="BU96" i="39"/>
  <c r="BK293" i="39"/>
  <c r="BP293" i="39"/>
  <c r="BL293" i="39"/>
  <c r="BR83" i="39"/>
  <c r="BK83" i="39"/>
  <c r="BN83" i="39"/>
  <c r="BO186" i="39"/>
  <c r="BU186" i="39"/>
  <c r="BL186" i="39"/>
  <c r="BR308" i="39"/>
  <c r="BV308" i="39"/>
  <c r="BP308" i="39"/>
  <c r="BK239" i="39"/>
  <c r="BO239" i="39"/>
  <c r="BN239" i="39"/>
  <c r="BR179" i="39"/>
  <c r="BQ179" i="39"/>
  <c r="BL179" i="39"/>
  <c r="BO200" i="39"/>
  <c r="BT200" i="39"/>
  <c r="BK200" i="39"/>
  <c r="BP98" i="39"/>
  <c r="BU98" i="39"/>
  <c r="BQ98" i="39"/>
  <c r="BR226" i="39"/>
  <c r="BM226" i="39"/>
  <c r="BV226" i="39"/>
  <c r="BM335" i="39"/>
  <c r="BQ335" i="39"/>
  <c r="BK335" i="39"/>
  <c r="BV115" i="39"/>
  <c r="BS115" i="39"/>
  <c r="BM115" i="39"/>
  <c r="BM140" i="39"/>
  <c r="BO140" i="39"/>
  <c r="BT140" i="39"/>
  <c r="BM320" i="39"/>
  <c r="BO320" i="39"/>
  <c r="BK320" i="39"/>
  <c r="BP99" i="39"/>
  <c r="BL99" i="39"/>
  <c r="BR99" i="39"/>
  <c r="BU339" i="39"/>
  <c r="BO339" i="39"/>
  <c r="BS339" i="39"/>
  <c r="BT299" i="39"/>
  <c r="BL299" i="39"/>
  <c r="BR299" i="39"/>
  <c r="BQ250" i="39"/>
  <c r="BT250" i="39"/>
  <c r="BN250" i="39"/>
  <c r="BL192" i="39"/>
  <c r="BS192" i="39"/>
  <c r="BP192" i="39"/>
  <c r="BK337" i="39"/>
  <c r="BO337" i="39"/>
  <c r="BU337" i="39"/>
  <c r="BK13" i="39"/>
  <c r="BS13" i="39"/>
  <c r="BN13" i="39"/>
  <c r="BN125" i="39"/>
  <c r="BS125" i="39"/>
  <c r="BK125" i="39"/>
  <c r="BV196" i="39"/>
  <c r="BP196" i="39"/>
  <c r="BM196" i="39"/>
  <c r="BO70" i="39"/>
  <c r="BT70" i="39"/>
  <c r="BN70" i="39"/>
  <c r="BO242" i="39"/>
  <c r="BV242" i="39"/>
  <c r="BS242" i="39"/>
  <c r="BL289" i="39"/>
  <c r="BV289" i="39"/>
  <c r="BU289" i="39"/>
  <c r="BV93" i="39"/>
  <c r="BS93" i="39"/>
  <c r="BQ93" i="39"/>
  <c r="BU334" i="39"/>
  <c r="BP334" i="39"/>
  <c r="BV334" i="39"/>
  <c r="BL240" i="39"/>
  <c r="BM240" i="39"/>
  <c r="BU240" i="39"/>
  <c r="BV318" i="39"/>
  <c r="BT318" i="39"/>
  <c r="BO318" i="39"/>
  <c r="BV84" i="39"/>
  <c r="BK84" i="39"/>
  <c r="BP84" i="39"/>
  <c r="BK43" i="39"/>
  <c r="BM43" i="39"/>
  <c r="BQ43" i="39"/>
  <c r="BT152" i="39"/>
  <c r="BO152" i="39"/>
  <c r="BR152" i="39"/>
  <c r="BQ64" i="39"/>
  <c r="BO64" i="39"/>
  <c r="BK64" i="39"/>
  <c r="BM313" i="39"/>
  <c r="BL313" i="39"/>
  <c r="BS313" i="39"/>
  <c r="BV285" i="39"/>
  <c r="BO285" i="39"/>
  <c r="BS285" i="39"/>
  <c r="BS223" i="39"/>
  <c r="BQ223" i="39"/>
  <c r="BL223" i="39"/>
  <c r="BQ88" i="39"/>
  <c r="BU88" i="39"/>
  <c r="BO88" i="39"/>
  <c r="BR74" i="39"/>
  <c r="BO74" i="39"/>
  <c r="BV74" i="39"/>
  <c r="BT280" i="39"/>
  <c r="BM280" i="39"/>
  <c r="BR280" i="39"/>
  <c r="BU217" i="39"/>
  <c r="BM217" i="39"/>
  <c r="BP217" i="39"/>
  <c r="BQ202" i="39"/>
  <c r="BV202" i="39"/>
  <c r="BS202" i="39"/>
  <c r="BV77" i="39"/>
  <c r="BL77" i="39"/>
  <c r="BP77" i="39"/>
  <c r="BU237" i="39"/>
  <c r="BQ237" i="39"/>
  <c r="BT237" i="39"/>
  <c r="BT148" i="39"/>
  <c r="BV148" i="39"/>
  <c r="BR148" i="39"/>
  <c r="BK317" i="39"/>
  <c r="BR317" i="39"/>
  <c r="BL317" i="39"/>
  <c r="BM117" i="39"/>
  <c r="BP117" i="39"/>
  <c r="BN117" i="39"/>
  <c r="BS80" i="39"/>
  <c r="BQ80" i="39"/>
  <c r="BR80" i="39"/>
  <c r="BN130" i="39"/>
  <c r="BU130" i="39"/>
  <c r="BM130" i="39"/>
  <c r="BM138" i="39"/>
  <c r="BP138" i="39"/>
  <c r="BS138" i="39"/>
  <c r="BN238" i="39"/>
  <c r="BV238" i="39"/>
  <c r="BT238" i="39"/>
  <c r="BS305" i="39"/>
  <c r="BK305" i="39"/>
  <c r="BP305" i="39"/>
  <c r="BT134" i="39"/>
  <c r="BV134" i="39"/>
  <c r="BU134" i="39"/>
  <c r="BR38" i="39"/>
  <c r="BO38" i="39"/>
  <c r="BQ38" i="39"/>
  <c r="BQ310" i="39"/>
  <c r="BO310" i="39"/>
  <c r="BS310" i="39"/>
  <c r="BV286" i="39"/>
  <c r="BT286" i="39"/>
  <c r="BU286" i="39"/>
  <c r="BL259" i="39"/>
  <c r="BN259" i="39"/>
  <c r="BU259" i="39"/>
  <c r="BU193" i="39"/>
  <c r="BL193" i="39"/>
  <c r="BQ193" i="39"/>
  <c r="BL149" i="39"/>
  <c r="BS149" i="39"/>
  <c r="BM149" i="39"/>
  <c r="BR112" i="39"/>
  <c r="BS112" i="39"/>
  <c r="BT112" i="39"/>
  <c r="BO171" i="39"/>
  <c r="BQ171" i="39"/>
  <c r="BM171" i="39"/>
  <c r="BR128" i="39"/>
  <c r="BL128" i="39"/>
  <c r="BM128" i="39"/>
  <c r="BR296" i="39"/>
  <c r="BS296" i="39"/>
  <c r="BM296" i="39"/>
  <c r="BO270" i="39"/>
  <c r="BT270" i="39"/>
  <c r="BV270" i="39"/>
  <c r="BT94" i="39"/>
  <c r="BN94" i="39"/>
  <c r="BO94" i="39"/>
  <c r="BL232" i="39"/>
  <c r="BT232" i="39"/>
  <c r="BN232" i="39"/>
  <c r="BP49" i="39"/>
  <c r="BT49" i="39"/>
  <c r="BQ49" i="39"/>
  <c r="BM301" i="39"/>
  <c r="BV301" i="39"/>
  <c r="BT301" i="39"/>
  <c r="BM312" i="39"/>
  <c r="BP312" i="39"/>
  <c r="BU312" i="39"/>
  <c r="BS271" i="39"/>
  <c r="BM271" i="39"/>
  <c r="BO271" i="39"/>
  <c r="BR231" i="39"/>
  <c r="BU231" i="39"/>
  <c r="BP231" i="39"/>
  <c r="BM137" i="39"/>
  <c r="BP137" i="39"/>
  <c r="BN137" i="39"/>
  <c r="BR338" i="39"/>
  <c r="BU338" i="39"/>
  <c r="BM338" i="39"/>
  <c r="BT68" i="39"/>
  <c r="BV68" i="39"/>
  <c r="BR68" i="39"/>
  <c r="BT126" i="39"/>
  <c r="BM126" i="39"/>
  <c r="BU126" i="39"/>
  <c r="BS39" i="39"/>
  <c r="BR39" i="39"/>
  <c r="BM39" i="39"/>
  <c r="BV87" i="39"/>
  <c r="BS87" i="39"/>
  <c r="BT87" i="39"/>
  <c r="BK252" i="39"/>
  <c r="BM252" i="39"/>
  <c r="BV252" i="39"/>
  <c r="BS118" i="39"/>
  <c r="BO118" i="39"/>
  <c r="BQ118" i="39"/>
  <c r="BM46" i="39"/>
  <c r="BO46" i="39"/>
  <c r="BT46" i="39"/>
  <c r="BL182" i="39"/>
  <c r="BO182" i="39"/>
  <c r="BK182" i="39"/>
  <c r="BO243" i="39"/>
  <c r="BP243" i="39"/>
  <c r="BV243" i="39"/>
  <c r="BM212" i="39"/>
  <c r="BP212" i="39"/>
  <c r="BT212" i="39"/>
  <c r="BT178" i="39"/>
  <c r="BR178" i="39"/>
  <c r="BQ178" i="39"/>
  <c r="BT204" i="39"/>
  <c r="BL204" i="39"/>
  <c r="BK204" i="39"/>
  <c r="BS71" i="39"/>
  <c r="BP71" i="39"/>
  <c r="BT71" i="39"/>
  <c r="BV17" i="39"/>
  <c r="BP17" i="39"/>
  <c r="BM17" i="39"/>
  <c r="BQ261" i="39"/>
  <c r="BL261" i="39"/>
  <c r="BO261" i="39"/>
  <c r="BK203" i="39"/>
  <c r="BV203" i="39"/>
  <c r="BQ203" i="39"/>
  <c r="BM211" i="39"/>
  <c r="BQ211" i="39"/>
  <c r="BN211" i="39"/>
  <c r="BS322" i="39"/>
  <c r="BM322" i="39"/>
  <c r="BO322" i="39"/>
  <c r="BN205" i="39"/>
  <c r="BV205" i="39"/>
  <c r="BS205" i="39"/>
  <c r="BN209" i="39"/>
  <c r="BR209" i="39"/>
  <c r="BU209" i="39"/>
  <c r="BS319" i="39"/>
  <c r="BK319" i="39"/>
  <c r="BT319" i="39"/>
  <c r="BR236" i="39"/>
  <c r="BV236" i="39"/>
  <c r="BL236" i="39"/>
  <c r="BS131" i="39"/>
  <c r="BO131" i="39"/>
  <c r="BN131" i="39"/>
  <c r="BK95" i="39"/>
  <c r="BV95" i="39"/>
  <c r="BU95" i="39"/>
  <c r="BK283" i="39"/>
  <c r="BQ283" i="39"/>
  <c r="BR283" i="39"/>
  <c r="BM249" i="39"/>
  <c r="BK249" i="39"/>
  <c r="BR249" i="39"/>
  <c r="BL185" i="39"/>
  <c r="BN185" i="39"/>
  <c r="BR185" i="39"/>
  <c r="BQ143" i="39"/>
  <c r="BK143" i="39"/>
  <c r="BT143" i="39"/>
  <c r="BS183" i="39"/>
  <c r="BV183" i="39"/>
  <c r="BO183" i="39"/>
  <c r="BK228" i="39"/>
  <c r="BS228" i="39"/>
  <c r="BV228" i="39"/>
  <c r="BU329" i="39"/>
  <c r="BL329" i="39"/>
  <c r="BR329" i="39"/>
  <c r="BV281" i="39"/>
  <c r="BL281" i="39"/>
  <c r="BQ281" i="39"/>
  <c r="BS105" i="39"/>
  <c r="BL105" i="39"/>
  <c r="BU105" i="39"/>
  <c r="BM151" i="39"/>
  <c r="BP151" i="39"/>
  <c r="BK151" i="39"/>
  <c r="BQ254" i="39"/>
  <c r="BT254" i="39"/>
  <c r="BR254" i="39"/>
  <c r="BO14" i="39"/>
  <c r="BU14" i="39"/>
  <c r="BP14" i="39"/>
  <c r="BN154" i="39"/>
  <c r="BK154" i="39"/>
  <c r="BL154" i="39"/>
  <c r="BU291" i="39"/>
  <c r="BM291" i="39"/>
  <c r="BV291" i="39"/>
  <c r="BK12" i="39"/>
  <c r="BS12" i="39"/>
  <c r="BN12" i="39"/>
  <c r="BS161" i="39"/>
  <c r="BP161" i="39"/>
  <c r="BU161" i="39"/>
  <c r="BR48" i="39"/>
  <c r="BO48" i="39"/>
  <c r="BN48" i="39"/>
  <c r="BQ132" i="39"/>
  <c r="BK132" i="39"/>
  <c r="BV132" i="39"/>
  <c r="BR332" i="39"/>
  <c r="BM332" i="39"/>
  <c r="BK332" i="39"/>
  <c r="BO195" i="39"/>
  <c r="BP195" i="39"/>
  <c r="BN195" i="39"/>
  <c r="BR160" i="39"/>
  <c r="BL160" i="39"/>
  <c r="BM160" i="39"/>
  <c r="BL159" i="39"/>
  <c r="BQ159" i="39"/>
  <c r="BP159" i="39"/>
  <c r="BR269" i="39"/>
  <c r="BQ269" i="39"/>
  <c r="BU269" i="39"/>
  <c r="BK169" i="39"/>
  <c r="BL169" i="39"/>
  <c r="BN169" i="39"/>
  <c r="BL90" i="39"/>
  <c r="BV90" i="39"/>
  <c r="BT90" i="39"/>
  <c r="BV328" i="39"/>
  <c r="BK328" i="39"/>
  <c r="BS328" i="39"/>
  <c r="BN144" i="39"/>
  <c r="BU144" i="39"/>
  <c r="BK144" i="39"/>
  <c r="BR156" i="39"/>
  <c r="BQ156" i="39"/>
  <c r="BK156" i="39"/>
  <c r="BV146" i="39"/>
  <c r="BN146" i="39"/>
  <c r="BU146" i="39"/>
  <c r="BT175" i="39"/>
  <c r="BR175" i="39"/>
  <c r="BK175" i="39"/>
  <c r="BO50" i="39"/>
  <c r="BM50" i="39"/>
  <c r="BS50" i="39"/>
  <c r="BQ251" i="39"/>
  <c r="BP251" i="39"/>
  <c r="BM251" i="39"/>
  <c r="BP230" i="39"/>
  <c r="BK230" i="39"/>
  <c r="BM230" i="39"/>
  <c r="BR288" i="39"/>
  <c r="BT288" i="39"/>
  <c r="BU288" i="39"/>
  <c r="BM255" i="39"/>
  <c r="BT255" i="39"/>
  <c r="BK255" i="39"/>
  <c r="BT76" i="39"/>
  <c r="BV76" i="39"/>
  <c r="BU76" i="39"/>
  <c r="BM197" i="39"/>
  <c r="BT197" i="39"/>
  <c r="BR197" i="39"/>
  <c r="BO174" i="39"/>
  <c r="BM174" i="39"/>
  <c r="BT174" i="39"/>
  <c r="BM42" i="39"/>
  <c r="BP42" i="39"/>
  <c r="BS42" i="39"/>
  <c r="BO229" i="39"/>
  <c r="BM229" i="39"/>
  <c r="BV229" i="39"/>
  <c r="BQ139" i="39"/>
  <c r="BU139" i="39"/>
  <c r="BK139" i="39"/>
  <c r="BO298" i="39"/>
  <c r="BM298" i="39"/>
  <c r="BR298" i="39"/>
  <c r="BP150" i="39"/>
  <c r="BO150" i="39"/>
  <c r="BS150" i="39"/>
  <c r="BM116" i="39"/>
  <c r="BV116" i="39"/>
  <c r="BL116" i="39"/>
  <c r="BM306" i="39"/>
  <c r="BO306" i="39"/>
  <c r="BR306" i="39"/>
  <c r="BL147" i="39"/>
  <c r="BQ147" i="39"/>
  <c r="BK147" i="39"/>
  <c r="BS85" i="39"/>
  <c r="BR85" i="39"/>
  <c r="BM85" i="39"/>
  <c r="BK37" i="39"/>
  <c r="BS37" i="39"/>
  <c r="BV37" i="39"/>
  <c r="BR324" i="39"/>
  <c r="BV324" i="39"/>
  <c r="BO324" i="39"/>
  <c r="BK247" i="39"/>
  <c r="BS247" i="39"/>
  <c r="BR247" i="39"/>
  <c r="BR307" i="39"/>
  <c r="BO307" i="39"/>
  <c r="BT307" i="39"/>
  <c r="BQ86" i="39"/>
  <c r="BT86" i="39"/>
  <c r="BM86" i="39"/>
  <c r="BS129" i="39"/>
  <c r="BQ129" i="39"/>
  <c r="BU129" i="39"/>
  <c r="BO172" i="39"/>
  <c r="BN172" i="39"/>
  <c r="BK172" i="39"/>
  <c r="BN268" i="39"/>
  <c r="BV268" i="39"/>
  <c r="BQ268" i="39"/>
  <c r="BV15" i="39"/>
  <c r="BR15" i="39"/>
  <c r="BM15" i="39"/>
  <c r="BT165" i="39"/>
  <c r="BN165" i="39"/>
  <c r="BM165" i="39"/>
  <c r="BR16" i="39"/>
  <c r="BQ16" i="39"/>
  <c r="BO16" i="39"/>
  <c r="BU141" i="39"/>
  <c r="BV141" i="39"/>
  <c r="BL141" i="39"/>
  <c r="BN168" i="39"/>
  <c r="BL168" i="39"/>
  <c r="BU168" i="39"/>
  <c r="BR295" i="39"/>
  <c r="BK295" i="39"/>
  <c r="BM295" i="39"/>
  <c r="BN176" i="39"/>
  <c r="BV176" i="39"/>
  <c r="BO176" i="39"/>
  <c r="BO292" i="39"/>
  <c r="BS292" i="39"/>
  <c r="BM292" i="39"/>
  <c r="BO260" i="39"/>
  <c r="BT260" i="39"/>
  <c r="BR260" i="39"/>
  <c r="BO158" i="39"/>
  <c r="BU158" i="39"/>
  <c r="BV158" i="39"/>
  <c r="BO65" i="39"/>
  <c r="BM65" i="39"/>
  <c r="BS65" i="39"/>
  <c r="BO19" i="39"/>
  <c r="BP19" i="39"/>
  <c r="BS19" i="39"/>
  <c r="BT256" i="39"/>
  <c r="BP256" i="39"/>
  <c r="BO256" i="39"/>
  <c r="BN89" i="39"/>
  <c r="BV89" i="39"/>
  <c r="BS89" i="39"/>
  <c r="BM135" i="39"/>
  <c r="BN135" i="39"/>
  <c r="BT135" i="39"/>
  <c r="BL122" i="39"/>
  <c r="BK122" i="39"/>
  <c r="BM122" i="39"/>
  <c r="BL66" i="39"/>
  <c r="BQ66" i="39"/>
  <c r="BU66" i="39"/>
  <c r="BO96" i="39"/>
  <c r="BR96" i="39"/>
  <c r="BL96" i="39"/>
  <c r="BV293" i="39"/>
  <c r="BU293" i="39"/>
  <c r="BR293" i="39"/>
  <c r="BO83" i="39"/>
  <c r="BP83" i="39"/>
  <c r="BS83" i="39"/>
  <c r="BS186" i="39"/>
  <c r="BN186" i="39"/>
  <c r="BQ186" i="39"/>
  <c r="BT308" i="39"/>
  <c r="BU308" i="39"/>
  <c r="BK308" i="39"/>
  <c r="BT239" i="39"/>
  <c r="BR239" i="39"/>
  <c r="BM239" i="39"/>
  <c r="BS179" i="39"/>
  <c r="BK179" i="39"/>
  <c r="BP179" i="39"/>
  <c r="BR200" i="39"/>
  <c r="BQ200" i="39"/>
  <c r="BL200" i="39"/>
  <c r="BL98" i="39"/>
  <c r="BS98" i="39"/>
  <c r="BT98" i="39"/>
  <c r="BO226" i="39"/>
  <c r="BT226" i="39"/>
  <c r="BP226" i="39"/>
  <c r="BL335" i="39"/>
  <c r="BR335" i="39"/>
  <c r="BN335" i="39"/>
  <c r="BK115" i="39"/>
  <c r="BN115" i="39"/>
  <c r="BL115" i="39"/>
  <c r="BQ140" i="39"/>
  <c r="BP140" i="39"/>
  <c r="BS140" i="39"/>
  <c r="BL320" i="39"/>
  <c r="BS320" i="39"/>
  <c r="BV320" i="39"/>
  <c r="BV99" i="39"/>
  <c r="BO99" i="39"/>
  <c r="BK99" i="39"/>
  <c r="BK339" i="39"/>
  <c r="BM339" i="39"/>
  <c r="BV339" i="39"/>
  <c r="BN299" i="39"/>
  <c r="BO299" i="39"/>
  <c r="BS299" i="39"/>
  <c r="BL250" i="39"/>
  <c r="BO250" i="39"/>
  <c r="BM250" i="39"/>
  <c r="BV192" i="39"/>
  <c r="BR192" i="39"/>
  <c r="BT192" i="39"/>
  <c r="BR337" i="39"/>
  <c r="BP337" i="39"/>
  <c r="BQ337" i="39"/>
  <c r="BP13" i="39"/>
  <c r="BQ13" i="39"/>
  <c r="BL13" i="39"/>
  <c r="BP125" i="39"/>
  <c r="BT125" i="39"/>
  <c r="BQ125" i="39"/>
  <c r="BQ196" i="39"/>
  <c r="BL196" i="39"/>
  <c r="BN196" i="39"/>
  <c r="BL70" i="39"/>
  <c r="BR70" i="39"/>
  <c r="BV70" i="39"/>
  <c r="BL242" i="39"/>
  <c r="BR242" i="39"/>
  <c r="BU242" i="39"/>
  <c r="BN289" i="39"/>
  <c r="BK289" i="39"/>
  <c r="BQ289" i="39"/>
  <c r="BP93" i="39"/>
  <c r="BO93" i="39"/>
  <c r="BR93" i="39"/>
  <c r="BT334" i="39"/>
  <c r="BS334" i="39"/>
  <c r="BN334" i="39"/>
  <c r="BP240" i="39"/>
  <c r="BN240" i="39"/>
  <c r="BQ240" i="39"/>
  <c r="BS318" i="39"/>
  <c r="BR318" i="39"/>
  <c r="BP318" i="39"/>
  <c r="BS84" i="39"/>
  <c r="BQ84" i="39"/>
  <c r="BU84" i="39"/>
  <c r="BO43" i="39"/>
  <c r="BT43" i="39"/>
  <c r="BS43" i="39"/>
  <c r="BQ152" i="39"/>
  <c r="BM152" i="39"/>
  <c r="BS152" i="39"/>
  <c r="BS64" i="39"/>
  <c r="BM64" i="39"/>
  <c r="BP64" i="39"/>
  <c r="BT313" i="39"/>
  <c r="BP313" i="39"/>
  <c r="BQ313" i="39"/>
  <c r="BQ285" i="39"/>
  <c r="BT285" i="39"/>
  <c r="BN285" i="39"/>
  <c r="BM223" i="39"/>
  <c r="BO223" i="39"/>
  <c r="BN223" i="39"/>
  <c r="BL88" i="39"/>
  <c r="BN88" i="39"/>
  <c r="BS88" i="39"/>
  <c r="BK74" i="39"/>
  <c r="BS74" i="39"/>
  <c r="BP74" i="39"/>
  <c r="BN280" i="39"/>
  <c r="BS280" i="39"/>
  <c r="BK280" i="39"/>
  <c r="BK217" i="39"/>
  <c r="BL217" i="39"/>
  <c r="BN217" i="39"/>
  <c r="BN202" i="39"/>
  <c r="BL202" i="39"/>
  <c r="BO202" i="39"/>
  <c r="BO77" i="39"/>
  <c r="BL305" i="39"/>
  <c r="BO305" i="39"/>
  <c r="BR305" i="39"/>
  <c r="BR134" i="39"/>
  <c r="BM134" i="39"/>
  <c r="BL134" i="39"/>
  <c r="BM38" i="39"/>
  <c r="BS38" i="39"/>
  <c r="BT38" i="39"/>
  <c r="BN310" i="39"/>
  <c r="BM310" i="39"/>
  <c r="BP310" i="39"/>
  <c r="BP286" i="39"/>
  <c r="BK286" i="39"/>
  <c r="BL286" i="39"/>
  <c r="BQ259" i="39"/>
  <c r="BV259" i="39"/>
  <c r="BO259" i="39"/>
  <c r="BT193" i="39"/>
  <c r="BO193" i="39"/>
  <c r="BK193" i="39"/>
  <c r="BR149" i="39"/>
  <c r="BN149" i="39"/>
  <c r="BT149" i="39"/>
  <c r="BN112" i="39"/>
  <c r="BV112" i="39"/>
  <c r="BP112" i="39"/>
  <c r="BV171" i="39"/>
  <c r="BS171" i="39"/>
  <c r="BL171" i="39"/>
  <c r="BV128" i="39"/>
  <c r="BP128" i="39"/>
  <c r="BN128" i="39"/>
  <c r="BK296" i="39"/>
  <c r="BU296" i="39"/>
  <c r="BV296" i="39"/>
  <c r="BR270" i="39"/>
  <c r="BL270" i="39"/>
  <c r="BK270" i="39"/>
  <c r="BP94" i="39"/>
  <c r="BU94" i="39"/>
  <c r="BQ94" i="39"/>
  <c r="BV232" i="39"/>
  <c r="BQ232" i="39"/>
  <c r="BR232" i="39"/>
  <c r="BS49" i="39"/>
  <c r="BM49" i="39"/>
  <c r="BK49" i="39"/>
  <c r="BK301" i="39"/>
  <c r="BP301" i="39"/>
  <c r="BO301" i="39"/>
  <c r="BQ312" i="39"/>
  <c r="BR312" i="39"/>
  <c r="BL312" i="39"/>
  <c r="BV271" i="39"/>
  <c r="BP271" i="39"/>
  <c r="BR271" i="39"/>
  <c r="BL231" i="39"/>
  <c r="BN231" i="39"/>
  <c r="BM231" i="39"/>
  <c r="BS137" i="39"/>
  <c r="BO137" i="39"/>
  <c r="BR137" i="39"/>
  <c r="BN338" i="39"/>
  <c r="BK338" i="39"/>
  <c r="BL338" i="39"/>
  <c r="BO68" i="39"/>
  <c r="BL68" i="39"/>
  <c r="BM68" i="39"/>
  <c r="BO126" i="39"/>
  <c r="BS126" i="39"/>
  <c r="BP126" i="39"/>
  <c r="BN39" i="39"/>
  <c r="BL39" i="39"/>
  <c r="BK39" i="39"/>
  <c r="BL87" i="39"/>
  <c r="BN87" i="39"/>
  <c r="BR87" i="39"/>
  <c r="BR252" i="39"/>
  <c r="BN252" i="39"/>
  <c r="BT252" i="39"/>
  <c r="BL118" i="39"/>
  <c r="BM118" i="39"/>
  <c r="BR118" i="39"/>
  <c r="BQ46" i="39"/>
  <c r="BS46" i="39"/>
  <c r="BN46" i="39"/>
  <c r="BT182" i="39"/>
  <c r="BP182" i="39"/>
  <c r="BR182" i="39"/>
  <c r="BL243" i="39"/>
  <c r="BT243" i="39"/>
  <c r="BM243" i="39"/>
  <c r="BK212" i="39"/>
  <c r="BS212" i="39"/>
  <c r="BO212" i="39"/>
  <c r="BS178" i="39"/>
  <c r="BK178" i="39"/>
  <c r="BM178" i="39"/>
  <c r="BO204" i="39"/>
  <c r="BP204" i="39"/>
  <c r="BU204" i="39"/>
  <c r="BM71" i="39"/>
  <c r="BK71" i="39"/>
  <c r="BL71" i="39"/>
  <c r="BL17" i="39"/>
  <c r="BR17" i="39"/>
  <c r="BT17" i="39"/>
  <c r="BT261" i="39"/>
  <c r="BN261" i="39"/>
  <c r="BP261" i="39"/>
  <c r="BR203" i="39"/>
  <c r="BO203" i="39"/>
  <c r="BP203" i="39"/>
  <c r="BK211" i="39"/>
  <c r="BV211" i="39"/>
  <c r="BS211" i="39"/>
  <c r="BV322" i="39"/>
  <c r="BT322" i="39"/>
  <c r="BK322" i="39"/>
  <c r="BK205" i="39"/>
  <c r="BL205" i="39"/>
  <c r="BO205" i="39"/>
  <c r="BK209" i="39"/>
  <c r="BQ209" i="39"/>
  <c r="BS209" i="39"/>
  <c r="BN319" i="39"/>
  <c r="BV319" i="39"/>
  <c r="BP319" i="39"/>
  <c r="BN236" i="39"/>
  <c r="BT236" i="39"/>
  <c r="BP236" i="39"/>
  <c r="BK131" i="39"/>
  <c r="BT131" i="39"/>
  <c r="BP131" i="39"/>
  <c r="BM95" i="39"/>
  <c r="BN95" i="39"/>
  <c r="BL95" i="39"/>
  <c r="BM283" i="39"/>
  <c r="BN283" i="39"/>
  <c r="BV283" i="39"/>
  <c r="BN249" i="39"/>
  <c r="BU249" i="39"/>
  <c r="BV249" i="39"/>
  <c r="BT185" i="39"/>
  <c r="BK185" i="39"/>
  <c r="BV185" i="39"/>
  <c r="BN143" i="39"/>
  <c r="BP143" i="39"/>
  <c r="BM143" i="39"/>
  <c r="BU183" i="39"/>
  <c r="BM183" i="39"/>
  <c r="BK183" i="39"/>
  <c r="BT228" i="39"/>
  <c r="BP228" i="39"/>
  <c r="BQ228" i="39"/>
  <c r="BN329" i="39"/>
  <c r="BS329" i="39"/>
  <c r="BT329" i="39"/>
  <c r="BO281" i="39"/>
  <c r="BU281" i="39"/>
  <c r="BP281" i="39"/>
  <c r="BR105" i="39"/>
  <c r="BN105" i="39"/>
  <c r="BM105" i="39"/>
  <c r="BS151" i="39"/>
  <c r="BL151" i="39"/>
  <c r="BT151" i="39"/>
  <c r="BL254" i="39"/>
  <c r="BO254" i="39"/>
  <c r="BU254" i="39"/>
  <c r="BM14" i="39"/>
  <c r="BT14" i="39"/>
  <c r="BV14" i="39"/>
  <c r="BT154" i="39"/>
  <c r="BO154" i="39"/>
  <c r="BS154" i="39"/>
  <c r="BT291" i="39"/>
  <c r="BQ291" i="39"/>
  <c r="BN291" i="39"/>
  <c r="BU12" i="39"/>
  <c r="BP12" i="39"/>
  <c r="BT12" i="39"/>
  <c r="BV161" i="39"/>
  <c r="BQ161" i="39"/>
  <c r="BN161" i="39"/>
  <c r="BM48" i="39"/>
  <c r="BQ48" i="39"/>
  <c r="BP48" i="39"/>
  <c r="BN132" i="39"/>
  <c r="BU132" i="39"/>
  <c r="BL132" i="39"/>
  <c r="BV332" i="39"/>
  <c r="BL332" i="39"/>
  <c r="BT332" i="39"/>
  <c r="BQ195" i="39"/>
  <c r="BM195" i="39"/>
  <c r="BS195" i="39"/>
  <c r="BT160" i="39"/>
  <c r="BU160" i="39"/>
  <c r="BN160" i="39"/>
  <c r="BO159" i="39"/>
  <c r="BR159" i="39"/>
  <c r="BS159" i="39"/>
  <c r="BM269" i="39"/>
  <c r="BV269" i="39"/>
  <c r="BP269" i="39"/>
  <c r="BS169" i="39"/>
  <c r="BR169" i="39"/>
  <c r="BT169" i="39"/>
  <c r="BR90" i="39"/>
  <c r="BU90" i="39"/>
  <c r="BP90" i="39"/>
  <c r="BO328" i="39"/>
  <c r="BQ328" i="39"/>
  <c r="BN328" i="39"/>
  <c r="BT144" i="39"/>
  <c r="BV144" i="39"/>
  <c r="BM144" i="39"/>
  <c r="BO156" i="39"/>
  <c r="BS156" i="39"/>
  <c r="BN156" i="39"/>
  <c r="BR146" i="39"/>
  <c r="BP146" i="39"/>
  <c r="BK146" i="39"/>
  <c r="BU175" i="39"/>
  <c r="BQ175" i="39"/>
  <c r="BO175" i="39"/>
  <c r="BP50" i="39"/>
  <c r="BN50" i="39"/>
  <c r="BU50" i="39"/>
  <c r="BR251" i="39"/>
  <c r="BO251" i="39"/>
  <c r="BT251" i="39"/>
  <c r="BR230" i="39"/>
  <c r="BL230" i="39"/>
  <c r="BU230" i="39"/>
  <c r="BQ288" i="39"/>
  <c r="BP288" i="39"/>
  <c r="BV288" i="39"/>
  <c r="BN255" i="39"/>
  <c r="BO255" i="39"/>
  <c r="BU255" i="39"/>
  <c r="BS76" i="39"/>
  <c r="BL76" i="39"/>
  <c r="BO76" i="39"/>
  <c r="BQ197" i="39"/>
  <c r="BN197" i="39"/>
  <c r="BK197" i="39"/>
  <c r="BQ174" i="39"/>
  <c r="BK174" i="39"/>
  <c r="BU174" i="39"/>
  <c r="BT42" i="39"/>
  <c r="BL42" i="39"/>
  <c r="BN42" i="39"/>
  <c r="BU229" i="39"/>
  <c r="BN229" i="39"/>
  <c r="BK229" i="39"/>
  <c r="BS139" i="39"/>
  <c r="BP139" i="39"/>
  <c r="BO139" i="39"/>
  <c r="BL298" i="39"/>
  <c r="BP298" i="39"/>
  <c r="BQ298" i="39"/>
  <c r="BN150" i="39"/>
  <c r="BV150" i="39"/>
  <c r="BK150" i="39"/>
  <c r="BN116" i="39"/>
  <c r="BO116" i="39"/>
  <c r="BS116" i="39"/>
  <c r="BQ306" i="39"/>
  <c r="BP306" i="39"/>
  <c r="BK306" i="39"/>
  <c r="BO147" i="39"/>
  <c r="BP147" i="39"/>
  <c r="BM147" i="39"/>
  <c r="BK85" i="39"/>
  <c r="BT85" i="39"/>
  <c r="BP85" i="39"/>
  <c r="BM37" i="39"/>
  <c r="BL37" i="39"/>
  <c r="BQ37" i="39"/>
  <c r="BU324" i="39"/>
  <c r="BQ324" i="39"/>
  <c r="BP324" i="39"/>
  <c r="BV247" i="39"/>
  <c r="BT247" i="39"/>
  <c r="BN247" i="39"/>
  <c r="BS307" i="39"/>
  <c r="BV307" i="39"/>
  <c r="BL307" i="39"/>
  <c r="BN86" i="39"/>
  <c r="BS86" i="39"/>
  <c r="BL86" i="39"/>
  <c r="BN129" i="39"/>
  <c r="BT129" i="39"/>
  <c r="BL129" i="39"/>
  <c r="BM172" i="39"/>
  <c r="BQ172" i="39"/>
  <c r="BP172" i="39"/>
  <c r="BL268" i="39"/>
  <c r="BU268" i="39"/>
  <c r="BT268" i="39"/>
  <c r="BK15" i="39"/>
  <c r="BT15" i="39"/>
  <c r="BL15" i="39"/>
  <c r="BQ165" i="39"/>
  <c r="BS165" i="39"/>
  <c r="BV165" i="39"/>
  <c r="BS16" i="39"/>
  <c r="BV16" i="39"/>
  <c r="BL16" i="39"/>
  <c r="BO141" i="39"/>
  <c r="BQ141" i="39"/>
  <c r="BP141" i="39"/>
  <c r="BK168" i="39"/>
  <c r="BT168" i="39"/>
  <c r="BR168" i="39"/>
  <c r="BU295" i="39"/>
  <c r="BV295" i="39"/>
  <c r="BS295" i="39"/>
  <c r="BR176" i="39"/>
  <c r="BK176" i="39"/>
  <c r="BS176" i="39"/>
  <c r="BN292" i="39"/>
  <c r="BU292" i="39"/>
  <c r="BT292" i="39"/>
  <c r="BN260" i="39"/>
  <c r="BS260" i="39"/>
  <c r="BP260" i="39"/>
  <c r="BN158" i="39"/>
  <c r="BR158" i="39"/>
  <c r="BS158" i="39"/>
  <c r="BQ65" i="39"/>
  <c r="BR65" i="39"/>
  <c r="BU65" i="39"/>
  <c r="BV19" i="39"/>
  <c r="BT19" i="39"/>
  <c r="BN19" i="39"/>
  <c r="BQ256" i="39"/>
  <c r="BM256" i="39"/>
  <c r="BU256" i="39"/>
  <c r="BU89" i="39"/>
  <c r="BP89" i="39"/>
  <c r="BQ89" i="39"/>
  <c r="BV135" i="39"/>
  <c r="BR135" i="39"/>
  <c r="BU135" i="39"/>
  <c r="BS122" i="39"/>
  <c r="BU122" i="39"/>
  <c r="BT122" i="39"/>
  <c r="BM66" i="39"/>
  <c r="BT66" i="39"/>
  <c r="BP66" i="39"/>
  <c r="BV96" i="39"/>
  <c r="BK96" i="39"/>
  <c r="BN96" i="39"/>
  <c r="BQ293" i="39"/>
  <c r="BN293" i="39"/>
  <c r="BS293" i="39"/>
  <c r="BL83" i="39"/>
  <c r="BV83" i="39"/>
  <c r="BU83" i="39"/>
  <c r="BK186" i="39"/>
  <c r="BT186" i="39"/>
  <c r="BM186" i="39"/>
  <c r="BQ308" i="39"/>
  <c r="BS308" i="39"/>
  <c r="BL308" i="39"/>
  <c r="BV239" i="39"/>
  <c r="BQ239" i="39"/>
  <c r="BU239" i="39"/>
  <c r="BO179" i="39"/>
  <c r="BT179" i="39"/>
  <c r="BN179" i="39"/>
  <c r="BV200" i="39"/>
  <c r="BM200" i="39"/>
  <c r="BU200" i="39"/>
  <c r="BR98" i="39"/>
  <c r="BN98" i="39"/>
  <c r="BK98" i="39"/>
  <c r="BL226" i="39"/>
  <c r="BN226" i="39"/>
  <c r="BK226" i="39"/>
  <c r="BO335" i="39"/>
  <c r="BU335" i="39"/>
  <c r="BP335" i="39"/>
  <c r="BO115" i="39"/>
  <c r="BP115" i="39"/>
  <c r="BQ115" i="39"/>
  <c r="BR140" i="39"/>
  <c r="BV140" i="39"/>
  <c r="BN140" i="39"/>
  <c r="BN320" i="39"/>
  <c r="BT320" i="39"/>
  <c r="BP320" i="39"/>
  <c r="BQ99" i="39"/>
  <c r="BM99" i="39"/>
  <c r="BS99" i="39"/>
  <c r="BQ339" i="39"/>
  <c r="BT339" i="39"/>
  <c r="BR339" i="39"/>
  <c r="BM299" i="39"/>
  <c r="BP299" i="39"/>
  <c r="BQ299" i="39"/>
  <c r="BK250" i="39"/>
  <c r="BR250" i="39"/>
  <c r="BV250" i="39"/>
  <c r="BN192" i="39"/>
  <c r="BM192" i="39"/>
  <c r="BU192" i="39"/>
  <c r="BT337" i="39"/>
  <c r="BN337" i="39"/>
  <c r="BV337" i="39"/>
  <c r="BV13" i="39"/>
  <c r="BT13" i="39"/>
  <c r="BU13" i="39"/>
  <c r="BV125" i="39"/>
  <c r="BU125" i="39"/>
  <c r="BR125" i="39"/>
  <c r="BK196" i="39"/>
  <c r="BS196" i="39"/>
  <c r="BR196" i="39"/>
  <c r="BU70" i="39"/>
  <c r="BM70" i="39"/>
  <c r="BS70" i="39"/>
  <c r="BT242" i="39"/>
  <c r="BM242" i="39"/>
  <c r="BQ242" i="39"/>
  <c r="BO289" i="39"/>
  <c r="BT289" i="39"/>
  <c r="BM289" i="39"/>
  <c r="BU93" i="39"/>
  <c r="BK93" i="39"/>
  <c r="BN93" i="39"/>
  <c r="BR334" i="39"/>
  <c r="BQ334" i="39"/>
  <c r="BM334" i="39"/>
  <c r="BO240" i="39"/>
  <c r="BT240" i="39"/>
  <c r="BV240" i="39"/>
  <c r="BL318" i="39"/>
  <c r="BM318" i="39"/>
  <c r="BK318" i="39"/>
  <c r="BN84" i="39"/>
  <c r="BT84" i="39"/>
  <c r="BR84" i="39"/>
  <c r="BN43" i="39"/>
  <c r="BU43" i="39"/>
  <c r="BV43" i="39"/>
  <c r="BL152" i="39"/>
  <c r="BN152" i="39"/>
  <c r="BK152" i="39"/>
  <c r="BL64" i="39"/>
  <c r="BV64" i="39"/>
  <c r="BN64" i="39"/>
  <c r="BK313" i="39"/>
  <c r="BU313" i="39"/>
  <c r="BN313" i="39"/>
  <c r="BL285" i="39"/>
  <c r="BK285" i="39"/>
  <c r="BR285" i="39"/>
  <c r="BT223" i="39"/>
  <c r="BR223" i="39"/>
  <c r="BV223" i="39"/>
  <c r="BM88" i="39"/>
  <c r="BR88" i="39"/>
  <c r="BP88" i="39"/>
  <c r="BT74" i="39"/>
  <c r="BL74" i="39"/>
  <c r="BN74" i="39"/>
  <c r="BV280" i="39"/>
  <c r="BQ280" i="39"/>
  <c r="BL280" i="39"/>
  <c r="BO217" i="39"/>
  <c r="BT217" i="39"/>
  <c r="BS217" i="39"/>
  <c r="BR202" i="39"/>
  <c r="BP202" i="39"/>
  <c r="BU202" i="39"/>
  <c r="BU77" i="39"/>
  <c r="BT77" i="39"/>
  <c r="BK77" i="39"/>
  <c r="BR237" i="39"/>
  <c r="BM237" i="39"/>
  <c r="BK237" i="39"/>
  <c r="BU148" i="39"/>
  <c r="BS148" i="39"/>
  <c r="BQ148" i="39"/>
  <c r="BU317" i="39"/>
  <c r="BN317" i="39"/>
  <c r="BO317" i="39"/>
  <c r="BN305" i="39"/>
  <c r="BV305" i="39"/>
  <c r="BQ305" i="39"/>
  <c r="BQ134" i="39"/>
  <c r="BN134" i="39"/>
  <c r="BK134" i="39"/>
  <c r="BN38" i="39"/>
  <c r="BU38" i="39"/>
  <c r="BV38" i="39"/>
  <c r="BV310" i="39"/>
  <c r="BR310" i="39"/>
  <c r="BL310" i="39"/>
  <c r="BR286" i="39"/>
  <c r="BN286" i="39"/>
  <c r="BO286" i="39"/>
  <c r="BP259" i="39"/>
  <c r="BT259" i="39"/>
  <c r="BM259" i="39"/>
  <c r="BN193" i="39"/>
  <c r="BR193" i="39"/>
  <c r="BP193" i="39"/>
  <c r="BV149" i="39"/>
  <c r="BQ149" i="39"/>
  <c r="BU149" i="39"/>
  <c r="BM112" i="39"/>
  <c r="BL112" i="39"/>
  <c r="BQ112" i="39"/>
  <c r="BN171" i="39"/>
  <c r="BU171" i="39"/>
  <c r="BT171" i="39"/>
  <c r="BU128" i="39"/>
  <c r="BT128" i="39"/>
  <c r="BQ128" i="39"/>
  <c r="BT296" i="39"/>
  <c r="BP296" i="39"/>
  <c r="BO296" i="39"/>
  <c r="BU270" i="39"/>
  <c r="BS270" i="39"/>
  <c r="BQ270" i="39"/>
  <c r="BM94" i="39"/>
  <c r="BV94" i="39"/>
  <c r="BK94" i="39"/>
  <c r="BK232" i="39"/>
  <c r="BM232" i="39"/>
  <c r="BS232" i="39"/>
  <c r="BO49" i="39"/>
  <c r="BV49" i="39"/>
  <c r="BN49" i="39"/>
  <c r="BS301" i="39"/>
  <c r="BQ301" i="39"/>
  <c r="BU301" i="39"/>
  <c r="BV312" i="39"/>
  <c r="BT312" i="39"/>
  <c r="BO312" i="39"/>
  <c r="BQ271" i="39"/>
  <c r="BT271" i="39"/>
  <c r="BN271" i="39"/>
  <c r="BT231" i="39"/>
  <c r="BQ231" i="39"/>
  <c r="BV231" i="39"/>
  <c r="BQ137" i="39"/>
  <c r="BT137" i="39"/>
  <c r="BV137" i="39"/>
  <c r="BV338" i="39"/>
  <c r="BS338" i="39"/>
  <c r="BP338" i="39"/>
  <c r="BN68" i="39"/>
  <c r="BP68" i="39"/>
  <c r="BU68" i="39"/>
  <c r="BR126" i="39"/>
  <c r="BQ126" i="39"/>
  <c r="BL126" i="39"/>
  <c r="BQ39" i="39"/>
  <c r="BP39" i="39"/>
  <c r="BO39" i="39"/>
  <c r="BQ87" i="39"/>
  <c r="BM87" i="39"/>
  <c r="BU87" i="39"/>
  <c r="BP252" i="39"/>
  <c r="BU252" i="39"/>
  <c r="BO252" i="39"/>
  <c r="BN118" i="39"/>
  <c r="BU118" i="39"/>
  <c r="BP118" i="39"/>
  <c r="BR46" i="39"/>
  <c r="BL46" i="39"/>
  <c r="BU46" i="39"/>
  <c r="BV182" i="39"/>
  <c r="BN182" i="39"/>
  <c r="BS182" i="39"/>
  <c r="BR243" i="39"/>
  <c r="BS243" i="39"/>
  <c r="BN243" i="39"/>
  <c r="BU212" i="39"/>
  <c r="BQ212" i="39"/>
  <c r="BN212" i="39"/>
  <c r="BO178" i="39"/>
  <c r="BP178" i="39"/>
  <c r="BL178" i="39"/>
  <c r="BM204" i="39"/>
  <c r="BS204" i="39"/>
  <c r="BV204" i="39"/>
  <c r="BV71" i="39"/>
  <c r="BR71" i="39"/>
  <c r="BO71" i="39"/>
  <c r="BN17" i="39"/>
  <c r="BU17" i="39"/>
  <c r="BO17" i="39"/>
  <c r="BR261" i="39"/>
  <c r="BV261" i="39"/>
  <c r="BU261" i="39"/>
  <c r="BN203" i="39"/>
  <c r="BL203" i="39"/>
  <c r="BS203" i="39"/>
  <c r="BT211" i="39"/>
  <c r="BP211" i="39"/>
  <c r="BU211" i="39"/>
  <c r="BR322" i="39"/>
  <c r="BN322" i="39"/>
  <c r="BL322" i="39"/>
  <c r="BP205" i="39"/>
  <c r="BT205" i="39"/>
  <c r="BU205" i="39"/>
  <c r="BL209" i="39"/>
  <c r="BM209" i="39"/>
  <c r="BO209" i="39"/>
  <c r="BU319" i="39"/>
  <c r="BO319" i="39"/>
  <c r="BL319" i="39"/>
  <c r="BU236" i="39"/>
  <c r="BO236" i="39"/>
  <c r="BM236" i="39"/>
  <c r="BL131" i="39"/>
  <c r="BR131" i="39"/>
  <c r="BV131" i="39"/>
  <c r="BT95" i="39"/>
  <c r="BS95" i="39"/>
  <c r="BO95" i="39"/>
  <c r="BU283" i="39"/>
  <c r="BS283" i="39"/>
  <c r="BP283" i="39"/>
  <c r="BS249" i="39"/>
  <c r="BP249" i="39"/>
  <c r="BQ249" i="39"/>
  <c r="BQ185" i="39"/>
  <c r="BU185" i="39"/>
  <c r="BO185" i="39"/>
  <c r="BO143" i="39"/>
  <c r="BL143" i="39"/>
  <c r="BU143" i="39"/>
  <c r="BN183" i="39"/>
  <c r="BR183" i="39"/>
  <c r="BQ183" i="39"/>
  <c r="BM228" i="39"/>
  <c r="BL228" i="39"/>
  <c r="BO228" i="39"/>
  <c r="BK329" i="39"/>
  <c r="BV329" i="39"/>
  <c r="BQ329" i="39"/>
  <c r="BK281" i="39"/>
  <c r="BR281" i="39"/>
  <c r="BS281" i="39"/>
  <c r="BT105" i="39"/>
  <c r="BO105" i="39"/>
  <c r="BQ105" i="39"/>
  <c r="BU151" i="39"/>
  <c r="BQ151" i="39"/>
  <c r="BV151" i="39"/>
  <c r="BP254" i="39"/>
  <c r="BM254" i="39"/>
  <c r="BN254" i="39"/>
  <c r="BK14" i="39"/>
  <c r="BN14" i="39"/>
  <c r="BR14" i="39"/>
  <c r="BV154" i="39"/>
  <c r="BR154" i="39"/>
  <c r="BM154" i="39"/>
  <c r="BR291" i="39"/>
  <c r="BL291" i="39"/>
  <c r="BP291" i="39"/>
  <c r="BL12" i="39"/>
  <c r="BO12" i="39"/>
  <c r="BQ12" i="39"/>
  <c r="BR161" i="39"/>
  <c r="BT161" i="39"/>
  <c r="BM161" i="39"/>
  <c r="BU48" i="39"/>
  <c r="BT48" i="39"/>
  <c r="BV48" i="39"/>
  <c r="BS132" i="39"/>
  <c r="BM132" i="39"/>
  <c r="BT132" i="39"/>
  <c r="BP332" i="39"/>
  <c r="BU332" i="39"/>
  <c r="BQ332" i="39"/>
  <c r="BV195" i="39"/>
  <c r="BK195" i="39"/>
  <c r="BT195" i="39"/>
  <c r="BK160" i="39"/>
  <c r="BS160" i="39"/>
  <c r="BP160" i="39"/>
  <c r="BK159" i="39"/>
  <c r="BU159" i="39"/>
  <c r="BM159" i="39"/>
  <c r="BS269" i="39"/>
  <c r="BO269" i="39"/>
  <c r="BK269" i="39"/>
  <c r="BM169" i="39"/>
  <c r="BO169" i="39"/>
  <c r="BP169" i="39"/>
  <c r="BS90" i="39"/>
  <c r="BN90" i="39"/>
  <c r="BM90" i="39"/>
  <c r="BR328" i="39"/>
  <c r="BL328" i="39"/>
  <c r="BM328" i="39"/>
  <c r="BP144" i="39"/>
  <c r="BO144" i="39"/>
  <c r="BR144" i="39"/>
  <c r="BP156" i="39"/>
  <c r="BM156" i="39"/>
  <c r="BV156" i="39"/>
  <c r="BM146" i="39"/>
  <c r="BQ146" i="39"/>
  <c r="BS146" i="39"/>
  <c r="BL175" i="39"/>
  <c r="BP175" i="39"/>
  <c r="BV175" i="39"/>
  <c r="BV50" i="39"/>
  <c r="BL50" i="39"/>
  <c r="BK50" i="39"/>
  <c r="BS251" i="39"/>
  <c r="BN251" i="39"/>
  <c r="BV251" i="39"/>
  <c r="BO230" i="39"/>
  <c r="BS230" i="39"/>
  <c r="BN230" i="39"/>
  <c r="BS288" i="39"/>
  <c r="BK288" i="39"/>
  <c r="BN288" i="39"/>
  <c r="BQ255" i="39"/>
  <c r="BS255" i="39"/>
  <c r="BL255" i="39"/>
  <c r="BM76" i="39"/>
  <c r="BR76" i="39"/>
  <c r="BP76" i="39"/>
  <c r="BL197" i="39"/>
  <c r="BP197" i="39"/>
  <c r="BO197" i="39"/>
  <c r="BR174" i="39"/>
  <c r="BP174" i="39"/>
  <c r="BL174" i="39"/>
  <c r="BR42" i="39"/>
  <c r="BK42" i="39"/>
  <c r="BQ42" i="39"/>
  <c r="BL229" i="39"/>
  <c r="BQ229" i="39"/>
  <c r="BS229" i="39"/>
  <c r="BM139" i="39"/>
  <c r="BR139" i="39"/>
  <c r="BL139" i="39"/>
  <c r="BN298" i="39"/>
  <c r="BT298" i="39"/>
  <c r="BU298" i="39"/>
  <c r="BU150" i="39"/>
  <c r="BT150" i="39"/>
  <c r="BL150" i="39"/>
  <c r="BQ116" i="39"/>
  <c r="BR116" i="39"/>
  <c r="BT116" i="39"/>
  <c r="BT306" i="39"/>
  <c r="BN306" i="39"/>
  <c r="BL306" i="39"/>
  <c r="BT147" i="39"/>
  <c r="BU147" i="39"/>
  <c r="BN147" i="39"/>
  <c r="BL85" i="39"/>
  <c r="BN85" i="39"/>
  <c r="BU85" i="39"/>
  <c r="BT37" i="39"/>
  <c r="BU37" i="39"/>
  <c r="BP37" i="39"/>
  <c r="BN324" i="39"/>
  <c r="BM324" i="39"/>
  <c r="BT324" i="39"/>
  <c r="BU247" i="39"/>
  <c r="BQ247" i="39"/>
  <c r="BM247" i="39"/>
  <c r="BN307" i="39"/>
  <c r="BU307" i="39"/>
  <c r="BM307" i="39"/>
  <c r="BV86" i="39"/>
  <c r="BK86" i="39"/>
  <c r="BU86" i="39"/>
  <c r="BR129" i="39"/>
  <c r="BM129" i="39"/>
  <c r="BK129" i="39"/>
  <c r="BS172" i="39"/>
  <c r="BT172" i="39"/>
  <c r="BU172" i="39"/>
  <c r="BS268" i="39"/>
  <c r="BO268" i="39"/>
  <c r="BK268" i="39"/>
  <c r="BS15" i="39"/>
  <c r="BQ15" i="39"/>
  <c r="BU15" i="39"/>
  <c r="BU165" i="39"/>
  <c r="BO165" i="39"/>
  <c r="BL165" i="39"/>
  <c r="BP16" i="39"/>
  <c r="BT16" i="39"/>
  <c r="BU16" i="39"/>
  <c r="BN141" i="39"/>
  <c r="BS141" i="39"/>
  <c r="BT141" i="39"/>
  <c r="BV168" i="39"/>
  <c r="BO168" i="39"/>
  <c r="BS168" i="39"/>
  <c r="BP295" i="39"/>
  <c r="BN295" i="39"/>
  <c r="BT295" i="39"/>
  <c r="BM176" i="39"/>
  <c r="BP176" i="39"/>
  <c r="BU176" i="39"/>
  <c r="BP292" i="39"/>
  <c r="BK292" i="39"/>
  <c r="BV292" i="39"/>
  <c r="BL260" i="39"/>
  <c r="BV260" i="39"/>
  <c r="BK260" i="39"/>
  <c r="BP158" i="39"/>
  <c r="BL158" i="39"/>
  <c r="BT158" i="39"/>
  <c r="BP65" i="39"/>
  <c r="BV65" i="39"/>
  <c r="BT65" i="39"/>
  <c r="BQ19" i="39"/>
  <c r="BM19" i="39"/>
  <c r="BU19" i="39"/>
  <c r="BL256" i="39"/>
  <c r="BS256" i="39"/>
  <c r="BR256" i="39"/>
  <c r="BR89" i="39"/>
  <c r="BO89" i="39"/>
  <c r="BT89" i="39"/>
  <c r="BP135" i="39"/>
  <c r="BQ135" i="39"/>
  <c r="BK135" i="39"/>
  <c r="BQ122" i="39"/>
  <c r="BN122" i="39"/>
  <c r="BR122" i="39"/>
  <c r="BV66" i="39"/>
  <c r="BR66" i="39"/>
  <c r="BN66" i="39"/>
  <c r="BS96" i="39"/>
  <c r="BM96" i="39"/>
  <c r="BQ96" i="39"/>
  <c r="BM293" i="39"/>
  <c r="BO293" i="39"/>
  <c r="BT293" i="39"/>
  <c r="BM83" i="39"/>
  <c r="BT83" i="39"/>
  <c r="BQ83" i="39"/>
  <c r="BP186" i="39"/>
  <c r="BR186" i="39"/>
  <c r="BV186" i="39"/>
  <c r="BM308" i="39"/>
  <c r="BN308" i="39"/>
  <c r="BO308" i="39"/>
  <c r="BS239" i="39"/>
  <c r="BL239" i="39"/>
  <c r="BP239" i="39"/>
  <c r="BM179" i="39"/>
  <c r="BV179" i="39"/>
  <c r="BU179" i="39"/>
  <c r="BS200" i="39"/>
  <c r="BP200" i="39"/>
  <c r="BN200" i="39"/>
  <c r="BO98" i="39"/>
  <c r="BM98" i="39"/>
  <c r="BV98" i="39"/>
  <c r="BU226" i="39"/>
  <c r="BQ226" i="39"/>
  <c r="BS226" i="39"/>
  <c r="BV335" i="39"/>
  <c r="BS335" i="39"/>
  <c r="BT335" i="39"/>
  <c r="BU115" i="39"/>
  <c r="BR115" i="39"/>
  <c r="BT115" i="39"/>
  <c r="BL140" i="39"/>
  <c r="BK140" i="39"/>
  <c r="BU140" i="39"/>
  <c r="BU320" i="39"/>
  <c r="BQ320" i="39"/>
  <c r="BR320" i="39"/>
  <c r="BT99" i="39"/>
  <c r="BU99" i="39"/>
  <c r="BN99" i="39"/>
  <c r="BP339" i="39"/>
  <c r="BN339" i="39"/>
  <c r="BL339" i="39"/>
  <c r="BK299" i="39"/>
  <c r="BU299" i="39"/>
  <c r="BV299" i="39"/>
  <c r="BU250" i="39"/>
  <c r="BP250" i="39"/>
  <c r="BS250" i="39"/>
  <c r="BO192" i="39"/>
  <c r="BQ192" i="39"/>
  <c r="BK192" i="39"/>
  <c r="BM337" i="39"/>
  <c r="BL337" i="39"/>
  <c r="BS337" i="39"/>
  <c r="BM13" i="39"/>
  <c r="BO13" i="39"/>
  <c r="BR13" i="39"/>
  <c r="BM125" i="39"/>
  <c r="BO125" i="39"/>
  <c r="BL125" i="39"/>
  <c r="BT196" i="39"/>
  <c r="BO196" i="39"/>
  <c r="BU196" i="39"/>
  <c r="BK70" i="39"/>
  <c r="BQ70" i="39"/>
  <c r="BP70" i="39"/>
  <c r="BP242" i="39"/>
  <c r="BN242" i="39"/>
  <c r="BK242" i="39"/>
  <c r="BP289" i="39"/>
  <c r="BS289" i="39"/>
  <c r="BR289" i="39"/>
  <c r="BM93" i="39"/>
  <c r="BL93" i="39"/>
  <c r="BT93" i="39"/>
  <c r="BO334" i="39"/>
  <c r="BL334" i="39"/>
  <c r="BK334" i="39"/>
  <c r="BK240" i="39"/>
  <c r="BR240" i="39"/>
  <c r="BS240" i="39"/>
  <c r="BN318" i="39"/>
  <c r="BQ318" i="39"/>
  <c r="BU318" i="39"/>
  <c r="BL84" i="39"/>
  <c r="BO84" i="39"/>
  <c r="BM84" i="39"/>
  <c r="BL43" i="39"/>
  <c r="BR43" i="39"/>
  <c r="BP43" i="39"/>
  <c r="BV152" i="39"/>
  <c r="BU152" i="39"/>
  <c r="BP152" i="39"/>
  <c r="BR64" i="39"/>
  <c r="BU64" i="39"/>
  <c r="BT64" i="39"/>
  <c r="BV313" i="39"/>
  <c r="BO313" i="39"/>
  <c r="BR313" i="39"/>
  <c r="BP285" i="39"/>
  <c r="BU285" i="39"/>
  <c r="BM285" i="39"/>
  <c r="BP223" i="39"/>
  <c r="BK223" i="39"/>
  <c r="BU223" i="39"/>
  <c r="BK88" i="39"/>
  <c r="BV88" i="39"/>
  <c r="BT88" i="39"/>
  <c r="BM74" i="39"/>
  <c r="BU74" i="39"/>
  <c r="BQ74" i="39"/>
  <c r="BU280" i="39"/>
  <c r="BP280" i="39"/>
  <c r="BO280" i="39"/>
  <c r="BQ217" i="39"/>
  <c r="BR217" i="39"/>
  <c r="BV217" i="39"/>
  <c r="BK202" i="39"/>
  <c r="BT202" i="39"/>
  <c r="BM202" i="39"/>
  <c r="BM77" i="39"/>
  <c r="BS77" i="39"/>
  <c r="BN77" i="39"/>
  <c r="BN237" i="39"/>
  <c r="BL237" i="39"/>
  <c r="BS237" i="39"/>
  <c r="BM148" i="39"/>
  <c r="BL148" i="39"/>
  <c r="BK148" i="39"/>
  <c r="BM317" i="39"/>
  <c r="BT317" i="39"/>
  <c r="BV317" i="39"/>
  <c r="BS117" i="39"/>
  <c r="BT117" i="39"/>
  <c r="BV117" i="39"/>
  <c r="BN80" i="39"/>
  <c r="BM80" i="39"/>
  <c r="BV80" i="39"/>
  <c r="BT130" i="39"/>
  <c r="BL130" i="39"/>
  <c r="BO130" i="39"/>
  <c r="BT138" i="39"/>
  <c r="BN138" i="39"/>
  <c r="BR138" i="39"/>
  <c r="BL238" i="39"/>
  <c r="BR238" i="39"/>
  <c r="BK238" i="39"/>
  <c r="BK180" i="39"/>
  <c r="BQ180" i="39"/>
  <c r="BN180" i="39"/>
  <c r="BS114" i="39"/>
  <c r="BQ77" i="39"/>
  <c r="BO237" i="39"/>
  <c r="BO148" i="39"/>
  <c r="BP317" i="39"/>
  <c r="BK117" i="39"/>
  <c r="BU80" i="39"/>
  <c r="BL80" i="39"/>
  <c r="BP130" i="39"/>
  <c r="BV130" i="39"/>
  <c r="BU138" i="39"/>
  <c r="BL138" i="39"/>
  <c r="BP238" i="39"/>
  <c r="BU180" i="39"/>
  <c r="BL180" i="39"/>
  <c r="BK114" i="39"/>
  <c r="BV114" i="39"/>
  <c r="BO220" i="39"/>
  <c r="BV220" i="39"/>
  <c r="BU220" i="39"/>
  <c r="BQ194" i="39"/>
  <c r="BT194" i="39"/>
  <c r="BM194" i="39"/>
  <c r="BV18" i="39"/>
  <c r="BT18" i="39"/>
  <c r="BM18" i="39"/>
  <c r="BO321" i="39"/>
  <c r="BT321" i="39"/>
  <c r="BQ321" i="39"/>
  <c r="BV119" i="39"/>
  <c r="BT119" i="39"/>
  <c r="BM119" i="39"/>
  <c r="BO106" i="39"/>
  <c r="BS106" i="39"/>
  <c r="BT106" i="39"/>
  <c r="BM302" i="39"/>
  <c r="BV302" i="39"/>
  <c r="BK302" i="39"/>
  <c r="BV331" i="39"/>
  <c r="BM331" i="39"/>
  <c r="BS331" i="39"/>
  <c r="BQ246" i="39"/>
  <c r="BV246" i="39"/>
  <c r="BN246" i="39"/>
  <c r="BR330" i="39"/>
  <c r="BU330" i="39"/>
  <c r="BO330" i="39"/>
  <c r="BR218" i="39"/>
  <c r="BQ218" i="39"/>
  <c r="BP218" i="39"/>
  <c r="BN201" i="39"/>
  <c r="BQ201" i="39"/>
  <c r="BV201" i="39"/>
  <c r="BM213" i="39"/>
  <c r="BQ213" i="39"/>
  <c r="BR213" i="39"/>
  <c r="BR97" i="39"/>
  <c r="BQ97" i="39"/>
  <c r="BN97" i="39"/>
  <c r="BL44" i="39"/>
  <c r="BU44" i="39"/>
  <c r="BN44" i="39"/>
  <c r="BL323" i="39"/>
  <c r="BK323" i="39"/>
  <c r="BP323" i="39"/>
  <c r="BP107" i="39"/>
  <c r="BT107" i="39"/>
  <c r="BQ107" i="39"/>
  <c r="BV109" i="39"/>
  <c r="BU109" i="39"/>
  <c r="BT109" i="39"/>
  <c r="BT219" i="39"/>
  <c r="BL219" i="39"/>
  <c r="BM219" i="39"/>
  <c r="BS163" i="39"/>
  <c r="BO163" i="39"/>
  <c r="BQ163" i="39"/>
  <c r="BM245" i="39"/>
  <c r="BL245" i="39"/>
  <c r="BR245" i="39"/>
  <c r="BV155" i="39"/>
  <c r="BQ155" i="39"/>
  <c r="BO155" i="39"/>
  <c r="BK222" i="39"/>
  <c r="BR222" i="39"/>
  <c r="BS222" i="39"/>
  <c r="BK36" i="39"/>
  <c r="BP36" i="39"/>
  <c r="BR36" i="39"/>
  <c r="BT108" i="39"/>
  <c r="BQ108" i="39"/>
  <c r="BS108" i="39"/>
  <c r="BP164" i="39"/>
  <c r="BN164" i="39"/>
  <c r="BV164" i="39"/>
  <c r="BS47" i="39"/>
  <c r="BK47" i="39"/>
  <c r="BV47" i="39"/>
  <c r="BO123" i="39"/>
  <c r="BV123" i="39"/>
  <c r="BK123" i="39"/>
  <c r="BK153" i="39"/>
  <c r="BO153" i="39"/>
  <c r="BP153" i="39"/>
  <c r="BM216" i="39"/>
  <c r="BS216" i="39"/>
  <c r="BR216" i="39"/>
  <c r="BT170" i="39"/>
  <c r="BQ170" i="39"/>
  <c r="BK170" i="39"/>
  <c r="BV336" i="39"/>
  <c r="BU336" i="39"/>
  <c r="BP336" i="39"/>
  <c r="BV262" i="39"/>
  <c r="BQ262" i="39"/>
  <c r="BO262" i="39"/>
  <c r="BR78" i="39"/>
  <c r="BK78" i="39"/>
  <c r="BO78" i="39"/>
  <c r="BL207" i="39"/>
  <c r="BU207" i="39"/>
  <c r="BT207" i="39"/>
  <c r="BN79" i="39"/>
  <c r="BL79" i="39"/>
  <c r="BT79" i="39"/>
  <c r="BQ142" i="39"/>
  <c r="BN142" i="39"/>
  <c r="BM142" i="39"/>
  <c r="BP263" i="39"/>
  <c r="BS263" i="39"/>
  <c r="BL263" i="39"/>
  <c r="BO111" i="39"/>
  <c r="BR111" i="39"/>
  <c r="BU111" i="39"/>
  <c r="BV41" i="39"/>
  <c r="BO41" i="39"/>
  <c r="BT41" i="39"/>
  <c r="BV198" i="39"/>
  <c r="BU198" i="39"/>
  <c r="BP198" i="39"/>
  <c r="BK199" i="39"/>
  <c r="BN199" i="39"/>
  <c r="BU199" i="39"/>
  <c r="BO224" i="39"/>
  <c r="BU224" i="39"/>
  <c r="BV224" i="39"/>
  <c r="BU333" i="39"/>
  <c r="BS333" i="39"/>
  <c r="BN333" i="39"/>
  <c r="BP311" i="39"/>
  <c r="BK311" i="39"/>
  <c r="BN311" i="39"/>
  <c r="BT167" i="39"/>
  <c r="BV167" i="39"/>
  <c r="BK167" i="39"/>
  <c r="BP184" i="39"/>
  <c r="BU184" i="39"/>
  <c r="BM184" i="39"/>
  <c r="BR173" i="39"/>
  <c r="BT173" i="39"/>
  <c r="BU173" i="39"/>
  <c r="BU124" i="39"/>
  <c r="BQ124" i="39"/>
  <c r="BS124" i="39"/>
  <c r="BR325" i="39"/>
  <c r="BO325" i="39"/>
  <c r="BT325" i="39"/>
  <c r="BM73" i="39"/>
  <c r="BP73" i="39"/>
  <c r="BL73" i="39"/>
  <c r="BR221" i="39"/>
  <c r="BM221" i="39"/>
  <c r="BO221" i="39"/>
  <c r="BM40" i="39"/>
  <c r="BO40" i="39"/>
  <c r="BS40" i="39"/>
  <c r="BM69" i="39"/>
  <c r="BR69" i="39"/>
  <c r="BL69" i="39"/>
  <c r="BQ294" i="39"/>
  <c r="BS294" i="39"/>
  <c r="BR294" i="39"/>
  <c r="BQ121" i="39"/>
  <c r="BU121" i="39"/>
  <c r="BR121" i="39"/>
  <c r="BK162" i="39"/>
  <c r="BO162" i="39"/>
  <c r="BP162" i="39"/>
  <c r="BL267" i="39"/>
  <c r="BM267" i="39"/>
  <c r="BO267" i="39"/>
  <c r="BS208" i="39"/>
  <c r="BV208" i="39"/>
  <c r="BR208" i="39"/>
  <c r="BU103" i="39"/>
  <c r="BP103" i="39"/>
  <c r="BQ103" i="39"/>
  <c r="BK303" i="39"/>
  <c r="BQ303" i="39"/>
  <c r="BR303" i="39"/>
  <c r="BM181" i="39"/>
  <c r="BR181" i="39"/>
  <c r="BL181" i="39"/>
  <c r="BO102" i="39"/>
  <c r="BP102" i="39"/>
  <c r="BK102" i="39"/>
  <c r="BQ45" i="39"/>
  <c r="BV45" i="39"/>
  <c r="BL45" i="39"/>
  <c r="BT215" i="39"/>
  <c r="BK215" i="39"/>
  <c r="BS215" i="39"/>
  <c r="BT258" i="39"/>
  <c r="BL258" i="39"/>
  <c r="BP258" i="39"/>
  <c r="BO300" i="39"/>
  <c r="BQ300" i="39"/>
  <c r="BU300" i="39"/>
  <c r="BQ100" i="39"/>
  <c r="BL100" i="39"/>
  <c r="BV100" i="39"/>
  <c r="BM225" i="39"/>
  <c r="BL225" i="39"/>
  <c r="BR225" i="39"/>
  <c r="BT326" i="39"/>
  <c r="BV326" i="39"/>
  <c r="BM326" i="39"/>
  <c r="BQ214" i="39"/>
  <c r="BS214" i="39"/>
  <c r="BO214" i="39"/>
  <c r="BS241" i="39"/>
  <c r="BV241" i="39"/>
  <c r="BP241" i="39"/>
  <c r="BR77" i="39"/>
  <c r="BP148" i="39"/>
  <c r="BQ317" i="39"/>
  <c r="BQ117" i="39"/>
  <c r="BO80" i="39"/>
  <c r="BT80" i="39"/>
  <c r="BR130" i="39"/>
  <c r="BK130" i="39"/>
  <c r="BO138" i="39"/>
  <c r="BU238" i="39"/>
  <c r="BV180" i="39"/>
  <c r="BM180" i="39"/>
  <c r="BO114" i="39"/>
  <c r="BL114" i="39"/>
  <c r="BM114" i="39"/>
  <c r="BR220" i="39"/>
  <c r="BN220" i="39"/>
  <c r="BM220" i="39"/>
  <c r="BO194" i="39"/>
  <c r="BL194" i="39"/>
  <c r="BS194" i="39"/>
  <c r="BR18" i="39"/>
  <c r="BP18" i="39"/>
  <c r="BL18" i="39"/>
  <c r="BK321" i="39"/>
  <c r="BR321" i="39"/>
  <c r="BP321" i="39"/>
  <c r="BS119" i="39"/>
  <c r="BQ119" i="39"/>
  <c r="BU119" i="39"/>
  <c r="BV106" i="39"/>
  <c r="BK106" i="39"/>
  <c r="BM106" i="39"/>
  <c r="BU302" i="39"/>
  <c r="BO302" i="39"/>
  <c r="BN302" i="39"/>
  <c r="BN331" i="39"/>
  <c r="BO331" i="39"/>
  <c r="BT331" i="39"/>
  <c r="BT246" i="39"/>
  <c r="BP246" i="39"/>
  <c r="BO246" i="39"/>
  <c r="BQ330" i="39"/>
  <c r="BM330" i="39"/>
  <c r="BN330" i="39"/>
  <c r="BS218" i="39"/>
  <c r="BM218" i="39"/>
  <c r="BV218" i="39"/>
  <c r="BM201" i="39"/>
  <c r="BP201" i="39"/>
  <c r="BO201" i="39"/>
  <c r="BN213" i="39"/>
  <c r="BL213" i="39"/>
  <c r="BO213" i="39"/>
  <c r="BS97" i="39"/>
  <c r="BP97" i="39"/>
  <c r="BU97" i="39"/>
  <c r="BR44" i="39"/>
  <c r="BO44" i="39"/>
  <c r="BS44" i="39"/>
  <c r="BO323" i="39"/>
  <c r="BT323" i="39"/>
  <c r="BM323" i="39"/>
  <c r="BL107" i="39"/>
  <c r="BK107" i="39"/>
  <c r="BO107" i="39"/>
  <c r="BO109" i="39"/>
  <c r="BN109" i="39"/>
  <c r="BR109" i="39"/>
  <c r="BS219" i="39"/>
  <c r="BQ219" i="39"/>
  <c r="BU219" i="39"/>
  <c r="BM163" i="39"/>
  <c r="BL163" i="39"/>
  <c r="BR163" i="39"/>
  <c r="BT245" i="39"/>
  <c r="BP245" i="39"/>
  <c r="BS245" i="39"/>
  <c r="BT155" i="39"/>
  <c r="BL155" i="39"/>
  <c r="BR155" i="39"/>
  <c r="BN222" i="39"/>
  <c r="BO222" i="39"/>
  <c r="BM222" i="39"/>
  <c r="BS36" i="39"/>
  <c r="BN36" i="39"/>
  <c r="BM36" i="39"/>
  <c r="BO108" i="39"/>
  <c r="BN108" i="39"/>
  <c r="BM108" i="39"/>
  <c r="BT164" i="39"/>
  <c r="BQ164" i="39"/>
  <c r="BS164" i="39"/>
  <c r="BU47" i="39"/>
  <c r="BO47" i="39"/>
  <c r="BP47" i="39"/>
  <c r="BP123" i="39"/>
  <c r="BS123" i="39"/>
  <c r="BL123" i="39"/>
  <c r="BU153" i="39"/>
  <c r="BQ153" i="39"/>
  <c r="BV153" i="39"/>
  <c r="BO216" i="39"/>
  <c r="BK216" i="39"/>
  <c r="BL216" i="39"/>
  <c r="BP170" i="39"/>
  <c r="BL170" i="39"/>
  <c r="BS170" i="39"/>
  <c r="BL336" i="39"/>
  <c r="BS336" i="39"/>
  <c r="BQ336" i="39"/>
  <c r="BM262" i="39"/>
  <c r="BL262" i="39"/>
  <c r="BR262" i="39"/>
  <c r="BU78" i="39"/>
  <c r="BN78" i="39"/>
  <c r="BL78" i="39"/>
  <c r="BK207" i="39"/>
  <c r="BS207" i="39"/>
  <c r="BM207" i="39"/>
  <c r="BM79" i="39"/>
  <c r="BS79" i="39"/>
  <c r="BV79" i="39"/>
  <c r="BK142" i="39"/>
  <c r="BS142" i="39"/>
  <c r="BR142" i="39"/>
  <c r="BK263" i="39"/>
  <c r="BO263" i="39"/>
  <c r="BV263" i="39"/>
  <c r="BQ111" i="39"/>
  <c r="BP111" i="39"/>
  <c r="BL111" i="39"/>
  <c r="BU41" i="39"/>
  <c r="BK41" i="39"/>
  <c r="BP41" i="39"/>
  <c r="BL198" i="39"/>
  <c r="BO198" i="39"/>
  <c r="BR198" i="39"/>
  <c r="BP199" i="39"/>
  <c r="BS199" i="39"/>
  <c r="BL199" i="39"/>
  <c r="BK224" i="39"/>
  <c r="BS224" i="39"/>
  <c r="BQ224" i="39"/>
  <c r="BL333" i="39"/>
  <c r="BK333" i="39"/>
  <c r="BP333" i="39"/>
  <c r="BQ311" i="39"/>
  <c r="BU311" i="39"/>
  <c r="BO311" i="39"/>
  <c r="BO167" i="39"/>
  <c r="BU167" i="39"/>
  <c r="BQ167" i="39"/>
  <c r="BS184" i="39"/>
  <c r="BL184" i="39"/>
  <c r="BN184" i="39"/>
  <c r="BO173" i="39"/>
  <c r="BM173" i="39"/>
  <c r="BN173" i="39"/>
  <c r="BL124" i="39"/>
  <c r="BV124" i="39"/>
  <c r="BP124" i="39"/>
  <c r="BN325" i="39"/>
  <c r="BL325" i="39"/>
  <c r="BP325" i="39"/>
  <c r="BR73" i="39"/>
  <c r="BK73" i="39"/>
  <c r="BS73" i="39"/>
  <c r="BV221" i="39"/>
  <c r="BK221" i="39"/>
  <c r="BU221" i="39"/>
  <c r="BP40" i="39"/>
  <c r="BU40" i="39"/>
  <c r="BV40" i="39"/>
  <c r="BO69" i="39"/>
  <c r="BT69" i="39"/>
  <c r="BP69" i="39"/>
  <c r="BO294" i="39"/>
  <c r="BL294" i="39"/>
  <c r="BN294" i="39"/>
  <c r="BM121" i="39"/>
  <c r="BT121" i="39"/>
  <c r="BV121" i="39"/>
  <c r="BT162" i="39"/>
  <c r="BM162" i="39"/>
  <c r="BR162" i="39"/>
  <c r="BN267" i="39"/>
  <c r="BU267" i="39"/>
  <c r="BQ267" i="39"/>
  <c r="BM208" i="39"/>
  <c r="BN208" i="39"/>
  <c r="BO208" i="39"/>
  <c r="BT103" i="39"/>
  <c r="BK103" i="39"/>
  <c r="BM103" i="39"/>
  <c r="BS303" i="39"/>
  <c r="BT303" i="39"/>
  <c r="BO303" i="39"/>
  <c r="BU181" i="39"/>
  <c r="BT181" i="39"/>
  <c r="BP181" i="39"/>
  <c r="BR102" i="39"/>
  <c r="BT102" i="39"/>
  <c r="BQ102" i="39"/>
  <c r="BM45" i="39"/>
  <c r="BS45" i="39"/>
  <c r="BN45" i="39"/>
  <c r="BR215" i="39"/>
  <c r="BL215" i="39"/>
  <c r="BP215" i="39"/>
  <c r="BO258" i="39"/>
  <c r="BQ258" i="39"/>
  <c r="BS258" i="39"/>
  <c r="BL300" i="39"/>
  <c r="BR300" i="39"/>
  <c r="BT300" i="39"/>
  <c r="BS100" i="39"/>
  <c r="BU100" i="39"/>
  <c r="BO100" i="39"/>
  <c r="BU225" i="39"/>
  <c r="BS225" i="39"/>
  <c r="BP225" i="39"/>
  <c r="BS326" i="39"/>
  <c r="BP326" i="39"/>
  <c r="BN326" i="39"/>
  <c r="BU214" i="39"/>
  <c r="BM214" i="39"/>
  <c r="BP214" i="39"/>
  <c r="BT241" i="39"/>
  <c r="BL241" i="39"/>
  <c r="BN241" i="39"/>
  <c r="BV237" i="39"/>
  <c r="BS317" i="39"/>
  <c r="BL117" i="39"/>
  <c r="BU117" i="39"/>
  <c r="BK80" i="39"/>
  <c r="BQ130" i="39"/>
  <c r="BV138" i="39"/>
  <c r="BS238" i="39"/>
  <c r="BM238" i="39"/>
  <c r="BS180" i="39"/>
  <c r="BO180" i="39"/>
  <c r="BR114" i="39"/>
  <c r="BU114" i="39"/>
  <c r="BN114" i="39"/>
  <c r="BQ220" i="39"/>
  <c r="BP220" i="39"/>
  <c r="BL220" i="39"/>
  <c r="BN194" i="39"/>
  <c r="BU194" i="39"/>
  <c r="BR194" i="39"/>
  <c r="BN18" i="39"/>
  <c r="BK18" i="39"/>
  <c r="BQ18" i="39"/>
  <c r="BL321" i="39"/>
  <c r="BU321" i="39"/>
  <c r="BM321" i="39"/>
  <c r="BR119" i="39"/>
  <c r="BK119" i="39"/>
  <c r="BN119" i="39"/>
  <c r="BQ106" i="39"/>
  <c r="BU106" i="39"/>
  <c r="BR106" i="39"/>
  <c r="BP302" i="39"/>
  <c r="BR302" i="39"/>
  <c r="BL302" i="39"/>
  <c r="BQ331" i="39"/>
  <c r="BL331" i="39"/>
  <c r="BP331" i="39"/>
  <c r="BS246" i="39"/>
  <c r="BK246" i="39"/>
  <c r="BL246" i="39"/>
  <c r="BL330" i="39"/>
  <c r="BS330" i="39"/>
  <c r="BK330" i="39"/>
  <c r="BO218" i="39"/>
  <c r="BU218" i="39"/>
  <c r="BN218" i="39"/>
  <c r="BR201" i="39"/>
  <c r="BS201" i="39"/>
  <c r="BK201" i="39"/>
  <c r="BV213" i="39"/>
  <c r="BP213" i="39"/>
  <c r="BT213" i="39"/>
  <c r="BL97" i="39"/>
  <c r="BM97" i="39"/>
  <c r="BK97" i="39"/>
  <c r="BT44" i="39"/>
  <c r="BP44" i="39"/>
  <c r="BQ44" i="39"/>
  <c r="BV323" i="39"/>
  <c r="BU323" i="39"/>
  <c r="BN323" i="39"/>
  <c r="BV107" i="39"/>
  <c r="BS107" i="39"/>
  <c r="BN107" i="39"/>
  <c r="BL109" i="39"/>
  <c r="BQ109" i="39"/>
  <c r="BK109" i="39"/>
  <c r="BK219" i="39"/>
  <c r="BR219" i="39"/>
  <c r="BV219" i="39"/>
  <c r="BK163" i="39"/>
  <c r="BP163" i="39"/>
  <c r="BV163" i="39"/>
  <c r="BQ245" i="39"/>
  <c r="BV245" i="39"/>
  <c r="BN245" i="39"/>
  <c r="BM155" i="39"/>
  <c r="BU155" i="39"/>
  <c r="BP155" i="39"/>
  <c r="BQ222" i="39"/>
  <c r="BL222" i="39"/>
  <c r="BV222" i="39"/>
  <c r="BL36" i="39"/>
  <c r="BV36" i="39"/>
  <c r="BQ36" i="39"/>
  <c r="BK108" i="39"/>
  <c r="BP108" i="39"/>
  <c r="BV108" i="39"/>
  <c r="BM164" i="39"/>
  <c r="BL164" i="39"/>
  <c r="BU164" i="39"/>
  <c r="BR47" i="39"/>
  <c r="BN47" i="39"/>
  <c r="BL47" i="39"/>
  <c r="BU123" i="39"/>
  <c r="BM123" i="39"/>
  <c r="BN123" i="39"/>
  <c r="BR153" i="39"/>
  <c r="BL153" i="39"/>
  <c r="BS153" i="39"/>
  <c r="BP216" i="39"/>
  <c r="BQ216" i="39"/>
  <c r="BT216" i="39"/>
  <c r="BR170" i="39"/>
  <c r="BV170" i="39"/>
  <c r="BM170" i="39"/>
  <c r="BR336" i="39"/>
  <c r="BO336" i="39"/>
  <c r="BT336" i="39"/>
  <c r="BP262" i="39"/>
  <c r="BS262" i="39"/>
  <c r="BU262" i="39"/>
  <c r="BS78" i="39"/>
  <c r="BM78" i="39"/>
  <c r="BQ78" i="39"/>
  <c r="BP207" i="39"/>
  <c r="BQ207" i="39"/>
  <c r="BO207" i="39"/>
  <c r="BQ79" i="39"/>
  <c r="BR79" i="39"/>
  <c r="BO79" i="39"/>
  <c r="BU142" i="39"/>
  <c r="BV142" i="39"/>
  <c r="BP142" i="39"/>
  <c r="BR263" i="39"/>
  <c r="BN263" i="39"/>
  <c r="BQ263" i="39"/>
  <c r="BN111" i="39"/>
  <c r="BT111" i="39"/>
  <c r="BV111" i="39"/>
  <c r="BQ41" i="39"/>
  <c r="BR41" i="39"/>
  <c r="BS41" i="39"/>
  <c r="BN198" i="39"/>
  <c r="BT198" i="39"/>
  <c r="BM198" i="39"/>
  <c r="BR199" i="39"/>
  <c r="BQ199" i="39"/>
  <c r="BM199" i="39"/>
  <c r="BT224" i="39"/>
  <c r="BN224" i="39"/>
  <c r="BL224" i="39"/>
  <c r="BM333" i="39"/>
  <c r="BV333" i="39"/>
  <c r="BQ333" i="39"/>
  <c r="BL311" i="39"/>
  <c r="BM311" i="39"/>
  <c r="BR311" i="39"/>
  <c r="BN167" i="39"/>
  <c r="BS167" i="39"/>
  <c r="BP167" i="39"/>
  <c r="BO184" i="39"/>
  <c r="BQ184" i="39"/>
  <c r="BV184" i="39"/>
  <c r="BL173" i="39"/>
  <c r="BK173" i="39"/>
  <c r="BP173" i="39"/>
  <c r="BN124" i="39"/>
  <c r="BM124" i="39"/>
  <c r="BR124" i="39"/>
  <c r="BS325" i="39"/>
  <c r="BV325" i="39"/>
  <c r="BM325" i="39"/>
  <c r="BT73" i="39"/>
  <c r="BU73" i="39"/>
  <c r="BQ73" i="39"/>
  <c r="BT221" i="39"/>
  <c r="BP221" i="39"/>
  <c r="BQ221" i="39"/>
  <c r="BL40" i="39"/>
  <c r="BT40" i="39"/>
  <c r="BN40" i="39"/>
  <c r="BN69" i="39"/>
  <c r="BS69" i="39"/>
  <c r="BU69" i="39"/>
  <c r="BM294" i="39"/>
  <c r="BU294" i="39"/>
  <c r="BV294" i="39"/>
  <c r="BO121" i="39"/>
  <c r="BS121" i="39"/>
  <c r="BL121" i="39"/>
  <c r="BL162" i="39"/>
  <c r="BV162" i="39"/>
  <c r="BS162" i="39"/>
  <c r="BT267" i="39"/>
  <c r="BR267" i="39"/>
  <c r="BV267" i="39"/>
  <c r="BQ208" i="39"/>
  <c r="BU208" i="39"/>
  <c r="BL208" i="39"/>
  <c r="BS103" i="39"/>
  <c r="BL103" i="39"/>
  <c r="BV103" i="39"/>
  <c r="BN303" i="39"/>
  <c r="BV303" i="39"/>
  <c r="BP303" i="39"/>
  <c r="BN181" i="39"/>
  <c r="BK181" i="39"/>
  <c r="BQ181" i="39"/>
  <c r="BV102" i="39"/>
  <c r="BN102" i="39"/>
  <c r="BL102" i="39"/>
  <c r="BO45" i="39"/>
  <c r="BT45" i="39"/>
  <c r="BP45" i="39"/>
  <c r="BQ215" i="39"/>
  <c r="BM215" i="39"/>
  <c r="BN215" i="39"/>
  <c r="BN258" i="39"/>
  <c r="BM258" i="39"/>
  <c r="BR258" i="39"/>
  <c r="BN300" i="39"/>
  <c r="BS300" i="39"/>
  <c r="BK300" i="39"/>
  <c r="BR100" i="39"/>
  <c r="BN100" i="39"/>
  <c r="BP100" i="39"/>
  <c r="BN225" i="39"/>
  <c r="BQ225" i="39"/>
  <c r="BT225" i="39"/>
  <c r="BL326" i="39"/>
  <c r="BK326" i="39"/>
  <c r="BO326" i="39"/>
  <c r="BV214" i="39"/>
  <c r="BN214" i="39"/>
  <c r="BK214" i="39"/>
  <c r="BR241" i="39"/>
  <c r="BQ241" i="39"/>
  <c r="BK241" i="39"/>
  <c r="BP237" i="39"/>
  <c r="BN148" i="39"/>
  <c r="BR117" i="39"/>
  <c r="BO117" i="39"/>
  <c r="BP80" i="39"/>
  <c r="BS130" i="39"/>
  <c r="BK138" i="39"/>
  <c r="BQ138" i="39"/>
  <c r="BQ238" i="39"/>
  <c r="BO238" i="39"/>
  <c r="BR180" i="39"/>
  <c r="BP180" i="39"/>
  <c r="BT180" i="39"/>
  <c r="BT114" i="39"/>
  <c r="BP114" i="39"/>
  <c r="BQ114" i="39"/>
  <c r="BK220" i="39"/>
  <c r="BT220" i="39"/>
  <c r="BS220" i="39"/>
  <c r="BV194" i="39"/>
  <c r="BK194" i="39"/>
  <c r="BP194" i="39"/>
  <c r="BS18" i="39"/>
  <c r="BU18" i="39"/>
  <c r="BO18" i="39"/>
  <c r="BS321" i="39"/>
  <c r="BV321" i="39"/>
  <c r="BN321" i="39"/>
  <c r="BO119" i="39"/>
  <c r="BP119" i="39"/>
  <c r="BL119" i="39"/>
  <c r="BL106" i="39"/>
  <c r="BP106" i="39"/>
  <c r="BN106" i="39"/>
  <c r="BT302" i="39"/>
  <c r="BS302" i="39"/>
  <c r="BQ302" i="39"/>
  <c r="BK331" i="39"/>
  <c r="BR331" i="39"/>
  <c r="BU331" i="39"/>
  <c r="BU246" i="39"/>
  <c r="BR246" i="39"/>
  <c r="BM246" i="39"/>
  <c r="BP330" i="39"/>
  <c r="BV330" i="39"/>
  <c r="BT330" i="39"/>
  <c r="BT218" i="39"/>
  <c r="BK218" i="39"/>
  <c r="BL218" i="39"/>
  <c r="BU201" i="39"/>
  <c r="BL201" i="39"/>
  <c r="BT201" i="39"/>
  <c r="BS213" i="39"/>
  <c r="BU213" i="39"/>
  <c r="BK213" i="39"/>
  <c r="BT97" i="39"/>
  <c r="BO97" i="39"/>
  <c r="BV97" i="39"/>
  <c r="BK44" i="39"/>
  <c r="BV44" i="39"/>
  <c r="BM44" i="39"/>
  <c r="BQ323" i="39"/>
  <c r="BS323" i="39"/>
  <c r="BR323" i="39"/>
  <c r="BM107" i="39"/>
  <c r="BR107" i="39"/>
  <c r="BU107" i="39"/>
  <c r="BM109" i="39"/>
  <c r="BP109" i="39"/>
  <c r="BS109" i="39"/>
  <c r="BO219" i="39"/>
  <c r="BP219" i="39"/>
  <c r="BN219" i="39"/>
  <c r="BN163" i="39"/>
  <c r="BT163" i="39"/>
  <c r="BU163" i="39"/>
  <c r="BU245" i="39"/>
  <c r="BO245" i="39"/>
  <c r="BK245" i="39"/>
  <c r="BS155" i="39"/>
  <c r="BK155" i="39"/>
  <c r="BN155" i="39"/>
  <c r="BT222" i="39"/>
  <c r="BU222" i="39"/>
  <c r="BP222" i="39"/>
  <c r="BT36" i="39"/>
  <c r="BO36" i="39"/>
  <c r="BU36" i="39"/>
  <c r="BR108" i="39"/>
  <c r="BU108" i="39"/>
  <c r="BL108" i="39"/>
  <c r="BO164" i="39"/>
  <c r="BK164" i="39"/>
  <c r="BR164" i="39"/>
  <c r="BT47" i="39"/>
  <c r="BQ47" i="39"/>
  <c r="BM47" i="39"/>
  <c r="BR123" i="39"/>
  <c r="BQ123" i="39"/>
  <c r="BT123" i="39"/>
  <c r="BM153" i="39"/>
  <c r="BN153" i="39"/>
  <c r="BT153" i="39"/>
  <c r="BN216" i="39"/>
  <c r="BU216" i="39"/>
  <c r="BV216" i="39"/>
  <c r="BO170" i="39"/>
  <c r="BU170" i="39"/>
  <c r="BN170" i="39"/>
  <c r="BK336" i="39"/>
  <c r="BM336" i="39"/>
  <c r="BN336" i="39"/>
  <c r="BK262" i="39"/>
  <c r="BN262" i="39"/>
  <c r="BT262" i="39"/>
  <c r="BP78" i="39"/>
  <c r="BV78" i="39"/>
  <c r="BT78" i="39"/>
  <c r="BV207" i="39"/>
  <c r="BN207" i="39"/>
  <c r="BR207" i="39"/>
  <c r="BP79" i="39"/>
  <c r="BU79" i="39"/>
  <c r="BK79" i="39"/>
  <c r="BT142" i="39"/>
  <c r="BO142" i="39"/>
  <c r="BL142" i="39"/>
  <c r="BU263" i="39"/>
  <c r="BT263" i="39"/>
  <c r="BM263" i="39"/>
  <c r="BS111" i="39"/>
  <c r="BM111" i="39"/>
  <c r="BK111" i="39"/>
  <c r="BN41" i="39"/>
  <c r="BL41" i="39"/>
  <c r="BM41" i="39"/>
  <c r="BQ198" i="39"/>
  <c r="BS198" i="39"/>
  <c r="BK198" i="39"/>
  <c r="BV199" i="39"/>
  <c r="BT199" i="39"/>
  <c r="BO199" i="39"/>
  <c r="BR224" i="39"/>
  <c r="BP224" i="39"/>
  <c r="BM224" i="39"/>
  <c r="BT333" i="39"/>
  <c r="BO333" i="39"/>
  <c r="BR333" i="39"/>
  <c r="BT311" i="39"/>
  <c r="BV311" i="39"/>
  <c r="BS311" i="39"/>
  <c r="BL167" i="39"/>
  <c r="BR167" i="39"/>
  <c r="BM167" i="39"/>
  <c r="BR184" i="39"/>
  <c r="BT184" i="39"/>
  <c r="BK184" i="39"/>
  <c r="BV173" i="39"/>
  <c r="BS173" i="39"/>
  <c r="BQ173" i="39"/>
  <c r="BT124" i="39"/>
  <c r="BK124" i="39"/>
  <c r="BO124" i="39"/>
  <c r="BK325" i="39"/>
  <c r="BU325" i="39"/>
  <c r="BQ325" i="39"/>
  <c r="BV73" i="39"/>
  <c r="BN73" i="39"/>
  <c r="BO73" i="39"/>
  <c r="BN221" i="39"/>
  <c r="BL221" i="39"/>
  <c r="BS221" i="39"/>
  <c r="BR40" i="39"/>
  <c r="BQ40" i="39"/>
  <c r="BK40" i="39"/>
  <c r="BQ69" i="39"/>
  <c r="BV69" i="39"/>
  <c r="BK69" i="39"/>
  <c r="BK294" i="39"/>
  <c r="BP294" i="39"/>
  <c r="BT294" i="39"/>
  <c r="BP121" i="39"/>
  <c r="BK121" i="39"/>
  <c r="BN121" i="39"/>
  <c r="BU162" i="39"/>
  <c r="BQ162" i="39"/>
  <c r="BN162" i="39"/>
  <c r="BP267" i="39"/>
  <c r="BK267" i="39"/>
  <c r="BS267" i="39"/>
  <c r="BK208" i="39"/>
  <c r="BP208" i="39"/>
  <c r="BT208" i="39"/>
  <c r="BO103" i="39"/>
  <c r="BN103" i="39"/>
  <c r="BR103" i="39"/>
  <c r="BL303" i="39"/>
  <c r="BU303" i="39"/>
  <c r="BM303" i="39"/>
  <c r="BS181" i="39"/>
  <c r="BO181" i="39"/>
  <c r="BV181" i="39"/>
  <c r="BU102" i="39"/>
  <c r="BS102" i="39"/>
  <c r="BM102" i="39"/>
  <c r="BK45" i="39"/>
  <c r="BU45" i="39"/>
  <c r="BR45" i="39"/>
  <c r="BU215" i="39"/>
  <c r="BV215" i="39"/>
  <c r="BO215" i="39"/>
  <c r="BV258" i="39"/>
  <c r="BU258" i="39"/>
  <c r="BK258" i="39"/>
  <c r="BM300" i="39"/>
  <c r="BP300" i="39"/>
  <c r="BV300" i="39"/>
  <c r="BT100" i="39"/>
  <c r="BM100" i="39"/>
  <c r="BK100" i="39"/>
  <c r="BK225" i="39"/>
  <c r="BO225" i="39"/>
  <c r="BV225" i="39"/>
  <c r="BU326" i="39"/>
  <c r="BR326" i="39"/>
  <c r="BQ326" i="39"/>
  <c r="BR214" i="39"/>
  <c r="BL214" i="39"/>
  <c r="BT214" i="39"/>
  <c r="BU241" i="39"/>
  <c r="BM241" i="39"/>
  <c r="BO241" i="39"/>
  <c r="W327" i="39" l="1"/>
  <c r="BI297" i="39"/>
  <c r="M46" i="6" s="1"/>
  <c r="L39" i="55" s="1"/>
  <c r="BI244" i="39"/>
  <c r="W244" i="39" s="1"/>
  <c r="BI248" i="39"/>
  <c r="BI11" i="39"/>
  <c r="BI290" i="39"/>
  <c r="W290" i="39" s="1"/>
  <c r="BI304" i="39"/>
  <c r="BI227" i="39"/>
  <c r="M37" i="6" s="1"/>
  <c r="L30" i="55" s="1"/>
  <c r="AV191" i="39"/>
  <c r="E191" i="39" s="1"/>
  <c r="M27" i="6"/>
  <c r="L20" i="55" s="1"/>
  <c r="BI279" i="39"/>
  <c r="BI127" i="39"/>
  <c r="AV188" i="39"/>
  <c r="E188" i="39" s="1"/>
  <c r="BI253" i="39"/>
  <c r="W253" i="39" s="1"/>
  <c r="BI257" i="39"/>
  <c r="BI309" i="39"/>
  <c r="M48" i="6" s="1"/>
  <c r="L41" i="55" s="1"/>
  <c r="BI82" i="39"/>
  <c r="W82" i="39" s="1"/>
  <c r="BI67" i="39"/>
  <c r="W67" i="39" s="1"/>
  <c r="BI145" i="39"/>
  <c r="W145" i="39" s="1"/>
  <c r="BI63" i="39"/>
  <c r="BF225" i="39" a="1"/>
  <c r="BF225" i="39" s="1"/>
  <c r="BG225" i="39" a="1"/>
  <c r="BG225" i="39" s="1"/>
  <c r="AV225" i="39" s="1"/>
  <c r="E225" i="39" s="1"/>
  <c r="BG100" i="39" a="1"/>
  <c r="BG100" i="39" s="1"/>
  <c r="AV100" i="39" s="1"/>
  <c r="E100" i="39" s="1"/>
  <c r="BF100" i="39" a="1"/>
  <c r="BF100" i="39" s="1"/>
  <c r="BF258" i="39" a="1"/>
  <c r="BF258" i="39" s="1"/>
  <c r="BG258" i="39" a="1"/>
  <c r="BG258" i="39" s="1"/>
  <c r="BG257" i="39" s="1"/>
  <c r="BG45" i="39" a="1"/>
  <c r="BG45" i="39" s="1"/>
  <c r="BF45" i="39" a="1"/>
  <c r="BF45" i="39" s="1"/>
  <c r="BG208" i="39" a="1"/>
  <c r="BG208" i="39" s="1"/>
  <c r="AV208" i="39" s="1"/>
  <c r="E208" i="39" s="1"/>
  <c r="BF208" i="39" a="1"/>
  <c r="BF208" i="39" s="1"/>
  <c r="BF267" i="39" a="1"/>
  <c r="BF267" i="39" s="1"/>
  <c r="BG267" i="39" a="1"/>
  <c r="BG267" i="39" s="1"/>
  <c r="BG121" i="39" a="1"/>
  <c r="BG121" i="39" s="1"/>
  <c r="I121" i="39" s="1"/>
  <c r="BF121" i="39" a="1"/>
  <c r="BF121" i="39" s="1"/>
  <c r="BF120" i="39" s="1"/>
  <c r="BG294" i="39" a="1"/>
  <c r="BG294" i="39" s="1"/>
  <c r="AV294" i="39" s="1"/>
  <c r="E294" i="39" s="1"/>
  <c r="BF294" i="39" a="1"/>
  <c r="BF294" i="39" s="1"/>
  <c r="BF69" i="39" a="1"/>
  <c r="BF69" i="39" s="1"/>
  <c r="BG69" i="39" a="1"/>
  <c r="BG69" i="39" s="1"/>
  <c r="BF40" i="39" a="1"/>
  <c r="BF40" i="39" s="1"/>
  <c r="BG40" i="39" a="1"/>
  <c r="BG40" i="39" s="1"/>
  <c r="BF325" i="39" a="1"/>
  <c r="BF325" i="39" s="1"/>
  <c r="BG325" i="39" a="1"/>
  <c r="BG325" i="39" s="1"/>
  <c r="BF124" i="39" a="1"/>
  <c r="BF124" i="39" s="1"/>
  <c r="BG124" i="39" a="1"/>
  <c r="BG124" i="39" s="1"/>
  <c r="BF184" i="39" a="1"/>
  <c r="BF184" i="39" s="1"/>
  <c r="BG184" i="39" a="1"/>
  <c r="BG184" i="39" s="1"/>
  <c r="BG177" i="39" s="1"/>
  <c r="H34" i="6" s="1"/>
  <c r="BG198" i="39" a="1"/>
  <c r="BG198" i="39" s="1"/>
  <c r="AV198" i="39" s="1"/>
  <c r="E198" i="39" s="1"/>
  <c r="BF198" i="39" a="1"/>
  <c r="BF198" i="39" s="1"/>
  <c r="BG111" i="39" a="1"/>
  <c r="BG111" i="39" s="1"/>
  <c r="AV111" i="39" s="1"/>
  <c r="E111" i="39" s="1"/>
  <c r="BF111" i="39" a="1"/>
  <c r="BF111" i="39" s="1"/>
  <c r="BG79" i="39" a="1"/>
  <c r="BG79" i="39" s="1"/>
  <c r="AV79" i="39" s="1"/>
  <c r="E79" i="39" s="1"/>
  <c r="BF79" i="39" a="1"/>
  <c r="BF79" i="39" s="1"/>
  <c r="BF262" i="39" a="1"/>
  <c r="BF262" i="39" s="1"/>
  <c r="BG262" i="39" a="1"/>
  <c r="BG262" i="39" s="1"/>
  <c r="BG336" i="39" a="1"/>
  <c r="BG336" i="39" s="1"/>
  <c r="I336" i="39" s="1"/>
  <c r="BF336" i="39" a="1"/>
  <c r="BF336" i="39" s="1"/>
  <c r="BF164" i="39" a="1"/>
  <c r="BF164" i="39" s="1"/>
  <c r="BG164" i="39" a="1"/>
  <c r="BG164" i="39" s="1"/>
  <c r="BF155" i="39" a="1"/>
  <c r="BF155" i="39" s="1"/>
  <c r="BG155" i="39" a="1"/>
  <c r="BG155" i="39" s="1"/>
  <c r="AV155" i="39" s="1"/>
  <c r="E155" i="39" s="1"/>
  <c r="BF245" i="39" a="1"/>
  <c r="BF245" i="39" s="1"/>
  <c r="BG245" i="39" a="1"/>
  <c r="BG245" i="39" s="1"/>
  <c r="I245" i="39" s="1"/>
  <c r="BF44" i="39" a="1"/>
  <c r="BF44" i="39" s="1"/>
  <c r="BG44" i="39" a="1"/>
  <c r="BG44" i="39" s="1"/>
  <c r="AV44" i="39" s="1"/>
  <c r="E44" i="39" s="1"/>
  <c r="BG213" i="39" a="1"/>
  <c r="BG213" i="39" s="1"/>
  <c r="AV213" i="39" s="1"/>
  <c r="E213" i="39" s="1"/>
  <c r="BF213" i="39" a="1"/>
  <c r="BF213" i="39" s="1"/>
  <c r="BF218" i="39" a="1"/>
  <c r="BF218" i="39" s="1"/>
  <c r="BG218" i="39" a="1"/>
  <c r="BG218" i="39" s="1"/>
  <c r="BF331" i="39" a="1"/>
  <c r="BF331" i="39" s="1"/>
  <c r="BG331" i="39" a="1"/>
  <c r="BG331" i="39" s="1"/>
  <c r="BF194" i="39" a="1"/>
  <c r="BF194" i="39" s="1"/>
  <c r="BG194" i="39" a="1"/>
  <c r="BG194" i="39" s="1"/>
  <c r="I194" i="39" s="1"/>
  <c r="BG220" i="39" a="1"/>
  <c r="BG220" i="39" s="1"/>
  <c r="I220" i="39" s="1"/>
  <c r="BF220" i="39" a="1"/>
  <c r="BF220" i="39" s="1"/>
  <c r="BF138" i="39" a="1"/>
  <c r="BF138" i="39" s="1"/>
  <c r="BG138" i="39" a="1"/>
  <c r="BG138" i="39" s="1"/>
  <c r="BG241" i="39" a="1"/>
  <c r="BG241" i="39" s="1"/>
  <c r="BF241" i="39" a="1"/>
  <c r="BF241" i="39" s="1"/>
  <c r="BG214" i="39" a="1"/>
  <c r="BG214" i="39" s="1"/>
  <c r="AV214" i="39" s="1"/>
  <c r="E214" i="39" s="1"/>
  <c r="BF214" i="39" a="1"/>
  <c r="BF214" i="39" s="1"/>
  <c r="BG326" i="39" a="1"/>
  <c r="BG326" i="39" s="1"/>
  <c r="AV326" i="39" s="1"/>
  <c r="E326" i="39" s="1"/>
  <c r="BF326" i="39" a="1"/>
  <c r="BF326" i="39" s="1"/>
  <c r="BF300" i="39" a="1"/>
  <c r="BF300" i="39" s="1"/>
  <c r="BG300" i="39" a="1"/>
  <c r="BG300" i="39" s="1"/>
  <c r="BG181" i="39" a="1"/>
  <c r="BG181" i="39" s="1"/>
  <c r="BF181" i="39" a="1"/>
  <c r="BF181" i="39" s="1"/>
  <c r="BG173" i="39" a="1"/>
  <c r="BG173" i="39" s="1"/>
  <c r="AV173" i="39" s="1"/>
  <c r="E173" i="39" s="1"/>
  <c r="BF173" i="39" a="1"/>
  <c r="BF173" i="39" s="1"/>
  <c r="BF108" i="39" a="1"/>
  <c r="BF108" i="39" s="1"/>
  <c r="BG108" i="39" a="1"/>
  <c r="BG108" i="39" s="1"/>
  <c r="I108" i="39" s="1"/>
  <c r="BG163" i="39" a="1"/>
  <c r="BG163" i="39" s="1"/>
  <c r="BF163" i="39" a="1"/>
  <c r="BF163" i="39" s="1"/>
  <c r="BF219" i="39" a="1"/>
  <c r="BF219" i="39" s="1"/>
  <c r="BG219" i="39" a="1"/>
  <c r="BG219" i="39" s="1"/>
  <c r="I219" i="39" s="1"/>
  <c r="BG109" i="39" a="1"/>
  <c r="BG109" i="39" s="1"/>
  <c r="BF109" i="39" a="1"/>
  <c r="BF109" i="39" s="1"/>
  <c r="BG97" i="39" a="1"/>
  <c r="BG97" i="39" s="1"/>
  <c r="I97" i="39" s="1"/>
  <c r="BF97" i="39" a="1"/>
  <c r="BF97" i="39" s="1"/>
  <c r="BG201" i="39" a="1"/>
  <c r="BG201" i="39" s="1"/>
  <c r="I201" i="39" s="1"/>
  <c r="BF201" i="39" a="1"/>
  <c r="BF201" i="39" s="1"/>
  <c r="BF330" i="39" a="1"/>
  <c r="BF330" i="39" s="1"/>
  <c r="BG330" i="39" a="1"/>
  <c r="BG330" i="39" s="1"/>
  <c r="I330" i="39" s="1"/>
  <c r="BF246" i="39" a="1"/>
  <c r="BF246" i="39" s="1"/>
  <c r="BG246" i="39" a="1"/>
  <c r="BG246" i="39" s="1"/>
  <c r="I246" i="39" s="1"/>
  <c r="BG119" i="39" a="1"/>
  <c r="BG119" i="39" s="1"/>
  <c r="BF119" i="39" a="1"/>
  <c r="BF119" i="39" s="1"/>
  <c r="BF18" i="39" a="1"/>
  <c r="BF18" i="39" s="1"/>
  <c r="BG18" i="39" a="1"/>
  <c r="BG18" i="39" s="1"/>
  <c r="I18" i="39" s="1"/>
  <c r="BF80" i="39" a="1"/>
  <c r="BF80" i="39" s="1"/>
  <c r="BG80" i="39" a="1"/>
  <c r="BG80" i="39" s="1"/>
  <c r="BF103" i="39" a="1"/>
  <c r="BF103" i="39" s="1"/>
  <c r="BG103" i="39" a="1"/>
  <c r="BG103" i="39" s="1"/>
  <c r="BF221" i="39" a="1"/>
  <c r="BF221" i="39" s="1"/>
  <c r="BG221" i="39" a="1"/>
  <c r="BG221" i="39" s="1"/>
  <c r="I221" i="39" s="1"/>
  <c r="BG73" i="39" a="1"/>
  <c r="BG73" i="39" s="1"/>
  <c r="I73" i="39" s="1"/>
  <c r="BF73" i="39" a="1"/>
  <c r="BF73" i="39" s="1"/>
  <c r="BG333" i="39" a="1"/>
  <c r="BG333" i="39" s="1"/>
  <c r="AV333" i="39" s="1"/>
  <c r="E333" i="39" s="1"/>
  <c r="BF333" i="39" a="1"/>
  <c r="BF333" i="39" s="1"/>
  <c r="BF327" i="39" s="1"/>
  <c r="BG224" i="39" a="1"/>
  <c r="BG224" i="39" s="1"/>
  <c r="AV224" i="39" s="1"/>
  <c r="E224" i="39" s="1"/>
  <c r="BF224" i="39" a="1"/>
  <c r="BF224" i="39" s="1"/>
  <c r="BF41" i="39" a="1"/>
  <c r="BF41" i="39" s="1"/>
  <c r="BG41" i="39" a="1"/>
  <c r="BG41" i="39" s="1"/>
  <c r="AV41" i="39" s="1"/>
  <c r="E41" i="39" s="1"/>
  <c r="BF263" i="39" a="1"/>
  <c r="BF263" i="39" s="1"/>
  <c r="BG263" i="39" a="1"/>
  <c r="BG263" i="39" s="1"/>
  <c r="AV263" i="39" s="1"/>
  <c r="E263" i="39" s="1"/>
  <c r="BG142" i="39" a="1"/>
  <c r="BG142" i="39" s="1"/>
  <c r="BF142" i="39" a="1"/>
  <c r="BF142" i="39" s="1"/>
  <c r="BF207" i="39" a="1"/>
  <c r="BF207" i="39" s="1"/>
  <c r="BG207" i="39" a="1"/>
  <c r="BG207" i="39" s="1"/>
  <c r="BG216" i="39" a="1"/>
  <c r="BG216" i="39" s="1"/>
  <c r="AV216" i="39" s="1"/>
  <c r="E216" i="39" s="1"/>
  <c r="BF216" i="39" a="1"/>
  <c r="BF216" i="39" s="1"/>
  <c r="BF107" i="39" a="1"/>
  <c r="BF107" i="39" s="1"/>
  <c r="BG107" i="39" a="1"/>
  <c r="BG107" i="39" s="1"/>
  <c r="AV107" i="39" s="1"/>
  <c r="E107" i="39" s="1"/>
  <c r="BG106" i="39" a="1"/>
  <c r="BG106" i="39" s="1"/>
  <c r="AV106" i="39" s="1"/>
  <c r="E106" i="39" s="1"/>
  <c r="BF106" i="39" a="1"/>
  <c r="BF106" i="39" s="1"/>
  <c r="BG321" i="39" a="1"/>
  <c r="BG321" i="39" s="1"/>
  <c r="I321" i="39" s="1"/>
  <c r="BF321" i="39" a="1"/>
  <c r="BF321" i="39" s="1"/>
  <c r="BG130" i="39" a="1"/>
  <c r="BG130" i="39" s="1"/>
  <c r="AV130" i="39" s="1"/>
  <c r="E130" i="39" s="1"/>
  <c r="BF130" i="39" a="1"/>
  <c r="BF130" i="39" s="1"/>
  <c r="BF215" i="39" a="1"/>
  <c r="BF215" i="39" s="1"/>
  <c r="BG215" i="39" a="1"/>
  <c r="BG215" i="39" s="1"/>
  <c r="BF102" i="39" a="1"/>
  <c r="BF102" i="39" s="1"/>
  <c r="BG102" i="39" a="1"/>
  <c r="BG102" i="39" s="1"/>
  <c r="BF303" i="39" a="1"/>
  <c r="BF303" i="39" s="1"/>
  <c r="BG303" i="39" a="1"/>
  <c r="BG303" i="39" s="1"/>
  <c r="AV303" i="39" s="1"/>
  <c r="E303" i="39" s="1"/>
  <c r="BG162" i="39" a="1"/>
  <c r="BG162" i="39" s="1"/>
  <c r="I162" i="39" s="1"/>
  <c r="BF162" i="39" a="1"/>
  <c r="BF162" i="39" s="1"/>
  <c r="BG167" i="39" a="1"/>
  <c r="BG167" i="39" s="1"/>
  <c r="I167" i="39" s="1"/>
  <c r="BF167" i="39" a="1"/>
  <c r="BF167" i="39" s="1"/>
  <c r="BG311" i="39" a="1"/>
  <c r="BG311" i="39" s="1"/>
  <c r="I311" i="39" s="1"/>
  <c r="BF311" i="39" a="1"/>
  <c r="BF311" i="39" s="1"/>
  <c r="BF199" i="39" a="1"/>
  <c r="BF199" i="39" s="1"/>
  <c r="BG199" i="39" a="1"/>
  <c r="BG199" i="39" s="1"/>
  <c r="AV199" i="39" s="1"/>
  <c r="E199" i="39" s="1"/>
  <c r="BG78" i="39" a="1"/>
  <c r="BG78" i="39" s="1"/>
  <c r="I78" i="39" s="1"/>
  <c r="BF78" i="39" a="1"/>
  <c r="BF78" i="39" s="1"/>
  <c r="BF170" i="39" a="1"/>
  <c r="BF170" i="39" s="1"/>
  <c r="BG170" i="39" a="1"/>
  <c r="BG170" i="39" s="1"/>
  <c r="AV170" i="39" s="1"/>
  <c r="E170" i="39" s="1"/>
  <c r="BF153" i="39" a="1"/>
  <c r="BF153" i="39" s="1"/>
  <c r="BG153" i="39" a="1"/>
  <c r="BG153" i="39" s="1"/>
  <c r="BF123" i="39" a="1"/>
  <c r="BF123" i="39" s="1"/>
  <c r="BG123" i="39" a="1"/>
  <c r="BG123" i="39" s="1"/>
  <c r="AV123" i="39" s="1"/>
  <c r="E123" i="39" s="1"/>
  <c r="BF47" i="39" a="1"/>
  <c r="BF47" i="39" s="1"/>
  <c r="BG47" i="39" a="1"/>
  <c r="BG47" i="39" s="1"/>
  <c r="BG36" i="39" a="1"/>
  <c r="BG36" i="39" s="1"/>
  <c r="AV36" i="39" s="1"/>
  <c r="E36" i="39" s="1"/>
  <c r="BF36" i="39" a="1"/>
  <c r="BF36" i="39" s="1"/>
  <c r="BG222" i="39" a="1"/>
  <c r="BG222" i="39" s="1"/>
  <c r="AV222" i="39" s="1"/>
  <c r="E222" i="39" s="1"/>
  <c r="BF222" i="39" a="1"/>
  <c r="BF222" i="39" s="1"/>
  <c r="BG323" i="39" a="1"/>
  <c r="BG323" i="39" s="1"/>
  <c r="I323" i="39" s="1"/>
  <c r="BF323" i="39" a="1"/>
  <c r="BF323" i="39" s="1"/>
  <c r="BF302" i="39" a="1"/>
  <c r="BF302" i="39" s="1"/>
  <c r="BG302" i="39" a="1"/>
  <c r="BG302" i="39" s="1"/>
  <c r="AV302" i="39" s="1"/>
  <c r="E302" i="39" s="1"/>
  <c r="BF114" i="39" a="1"/>
  <c r="BF114" i="39" s="1"/>
  <c r="BG114" i="39" a="1"/>
  <c r="BG114" i="39" s="1"/>
  <c r="BF117" i="39" a="1"/>
  <c r="BF117" i="39" s="1"/>
  <c r="BG117" i="39" a="1"/>
  <c r="BG117" i="39" s="1"/>
  <c r="AV117" i="39" s="1"/>
  <c r="E117" i="39" s="1"/>
  <c r="BF180" i="39" a="1"/>
  <c r="BF180" i="39" s="1"/>
  <c r="BG180" i="39" a="1"/>
  <c r="BG180" i="39" s="1"/>
  <c r="I180" i="39" s="1"/>
  <c r="BG238" i="39" a="1"/>
  <c r="BG238" i="39" s="1"/>
  <c r="BF238" i="39" a="1"/>
  <c r="BF238" i="39" s="1"/>
  <c r="BG148" i="39" a="1"/>
  <c r="BG148" i="39" s="1"/>
  <c r="BF148" i="39" a="1"/>
  <c r="BF148" i="39" s="1"/>
  <c r="BG202" i="39" a="1"/>
  <c r="BG202" i="39" s="1"/>
  <c r="AV202" i="39" s="1"/>
  <c r="E202" i="39" s="1"/>
  <c r="BF202" i="39" a="1"/>
  <c r="BF202" i="39" s="1"/>
  <c r="BF88" i="39" a="1"/>
  <c r="BF88" i="39" s="1"/>
  <c r="BG88" i="39" a="1"/>
  <c r="BG88" i="39" s="1"/>
  <c r="AV88" i="39" s="1"/>
  <c r="E88" i="39" s="1"/>
  <c r="BF223" i="39" a="1"/>
  <c r="BF223" i="39" s="1"/>
  <c r="BG223" i="39" a="1"/>
  <c r="BG223" i="39" s="1"/>
  <c r="BF240" i="39" a="1"/>
  <c r="BF240" i="39" s="1"/>
  <c r="BG240" i="39" a="1"/>
  <c r="BG240" i="39" s="1"/>
  <c r="BG334" i="39" a="1"/>
  <c r="BG334" i="39" s="1"/>
  <c r="BF334" i="39" a="1"/>
  <c r="BF334" i="39" s="1"/>
  <c r="BF242" i="39" a="1"/>
  <c r="BF242" i="39" s="1"/>
  <c r="BG242" i="39" a="1"/>
  <c r="BG242" i="39" s="1"/>
  <c r="I242" i="39" s="1"/>
  <c r="BF70" i="39" a="1"/>
  <c r="BF70" i="39" s="1"/>
  <c r="BG70" i="39" a="1"/>
  <c r="BG70" i="39" s="1"/>
  <c r="I70" i="39" s="1"/>
  <c r="BG192" i="39" a="1"/>
  <c r="BG192" i="39" s="1"/>
  <c r="AV192" i="39" s="1"/>
  <c r="E192" i="39" s="1"/>
  <c r="BF192" i="39" a="1"/>
  <c r="BF192" i="39" s="1"/>
  <c r="BG299" i="39" a="1"/>
  <c r="BG299" i="39" s="1"/>
  <c r="I299" i="39" s="1"/>
  <c r="BF299" i="39" a="1"/>
  <c r="BF299" i="39" s="1"/>
  <c r="BF297" i="39" s="1"/>
  <c r="BF140" i="39" a="1"/>
  <c r="BF140" i="39" s="1"/>
  <c r="BG140" i="39" a="1"/>
  <c r="BG140" i="39" s="1"/>
  <c r="AV140" i="39" s="1"/>
  <c r="E140" i="39" s="1"/>
  <c r="BG135" i="39" a="1"/>
  <c r="BG135" i="39" s="1"/>
  <c r="I135" i="39" s="1"/>
  <c r="BF135" i="39" a="1"/>
  <c r="BF135" i="39" s="1"/>
  <c r="BF260" i="39" a="1"/>
  <c r="BF260" i="39" s="1"/>
  <c r="BG260" i="39" a="1"/>
  <c r="BG260" i="39" s="1"/>
  <c r="BG292" i="39" a="1"/>
  <c r="BG292" i="39" s="1"/>
  <c r="I292" i="39" s="1"/>
  <c r="BF292" i="39" a="1"/>
  <c r="BF292" i="39" s="1"/>
  <c r="BF290" i="39" s="1"/>
  <c r="BF268" i="39" a="1"/>
  <c r="BF268" i="39" s="1"/>
  <c r="BG268" i="39" a="1"/>
  <c r="BG268" i="39" s="1"/>
  <c r="BG129" i="39" a="1"/>
  <c r="BG129" i="39" s="1"/>
  <c r="AV129" i="39" s="1"/>
  <c r="E129" i="39" s="1"/>
  <c r="BF129" i="39" a="1"/>
  <c r="BF129" i="39" s="1"/>
  <c r="BF86" i="39" a="1"/>
  <c r="BF86" i="39" s="1"/>
  <c r="BG86" i="39" a="1"/>
  <c r="BG86" i="39" s="1"/>
  <c r="AV86" i="39" s="1"/>
  <c r="E86" i="39" s="1"/>
  <c r="BG42" i="39" a="1"/>
  <c r="BG42" i="39" s="1"/>
  <c r="I42" i="39" s="1"/>
  <c r="BF42" i="39" a="1"/>
  <c r="BF42" i="39" s="1"/>
  <c r="BF288" i="39" a="1"/>
  <c r="BF288" i="39" s="1"/>
  <c r="BG288" i="39" a="1"/>
  <c r="BG288" i="39" s="1"/>
  <c r="I288" i="39" s="1"/>
  <c r="BG50" i="39" a="1"/>
  <c r="BG50" i="39" s="1"/>
  <c r="AV50" i="39" s="1"/>
  <c r="E50" i="39" s="1"/>
  <c r="BF50" i="39" a="1"/>
  <c r="BF50" i="39" s="1"/>
  <c r="BF269" i="39" a="1"/>
  <c r="BF269" i="39" s="1"/>
  <c r="BG269" i="39" a="1"/>
  <c r="BG269" i="39" s="1"/>
  <c r="I269" i="39" s="1"/>
  <c r="BF159" i="39" a="1"/>
  <c r="BF159" i="39" s="1"/>
  <c r="BG159" i="39" a="1"/>
  <c r="BG159" i="39" s="1"/>
  <c r="I159" i="39" s="1"/>
  <c r="BF160" i="39" a="1"/>
  <c r="BF160" i="39" s="1"/>
  <c r="BG160" i="39" a="1"/>
  <c r="BG160" i="39" s="1"/>
  <c r="BF195" i="39" a="1"/>
  <c r="BF195" i="39" s="1"/>
  <c r="BG195" i="39" a="1"/>
  <c r="BG195" i="39" s="1"/>
  <c r="AV195" i="39" s="1"/>
  <c r="E195" i="39" s="1"/>
  <c r="BF14" i="39" a="1"/>
  <c r="BF14" i="39" s="1"/>
  <c r="BG14" i="39" a="1"/>
  <c r="BG14" i="39" s="1"/>
  <c r="I14" i="39" s="1"/>
  <c r="BG281" i="39" a="1"/>
  <c r="BG281" i="39" s="1"/>
  <c r="I281" i="39" s="1"/>
  <c r="BF281" i="39" a="1"/>
  <c r="BF281" i="39" s="1"/>
  <c r="BG329" i="39" a="1"/>
  <c r="BG329" i="39" s="1"/>
  <c r="AV329" i="39" s="1"/>
  <c r="E329" i="39" s="1"/>
  <c r="BF329" i="39" a="1"/>
  <c r="BF329" i="39" s="1"/>
  <c r="BG232" i="39" a="1"/>
  <c r="BG232" i="39" s="1"/>
  <c r="AV232" i="39" s="1"/>
  <c r="E232" i="39" s="1"/>
  <c r="BF232" i="39" a="1"/>
  <c r="BF232" i="39" s="1"/>
  <c r="BF94" i="39" a="1"/>
  <c r="BF94" i="39" s="1"/>
  <c r="BG94" i="39" a="1"/>
  <c r="BG94" i="39" s="1"/>
  <c r="BF134" i="39" a="1"/>
  <c r="BF134" i="39" s="1"/>
  <c r="BG134" i="39" a="1"/>
  <c r="BG134" i="39" s="1"/>
  <c r="I134" i="39" s="1"/>
  <c r="BG237" i="39" a="1"/>
  <c r="BG237" i="39" s="1"/>
  <c r="I237" i="39" s="1"/>
  <c r="BF237" i="39" a="1"/>
  <c r="BF237" i="39" s="1"/>
  <c r="BG77" i="39" a="1"/>
  <c r="BG77" i="39" s="1"/>
  <c r="AV77" i="39" s="1"/>
  <c r="E77" i="39" s="1"/>
  <c r="BF77" i="39" a="1"/>
  <c r="BF77" i="39" s="1"/>
  <c r="BF285" i="39" a="1"/>
  <c r="BF285" i="39" s="1"/>
  <c r="BG285" i="39" a="1"/>
  <c r="BG285" i="39" s="1"/>
  <c r="I285" i="39" s="1"/>
  <c r="BF313" i="39" a="1"/>
  <c r="BF313" i="39" s="1"/>
  <c r="BG313" i="39" a="1"/>
  <c r="BG313" i="39" s="1"/>
  <c r="I313" i="39" s="1"/>
  <c r="BF152" i="39" a="1"/>
  <c r="BF152" i="39" s="1"/>
  <c r="BG152" i="39" a="1"/>
  <c r="BG152" i="39" s="1"/>
  <c r="BF318" i="39" a="1"/>
  <c r="BF318" i="39" s="1"/>
  <c r="BG318" i="39" a="1"/>
  <c r="BG318" i="39" s="1"/>
  <c r="AV318" i="39" s="1"/>
  <c r="E318" i="39" s="1"/>
  <c r="BG93" i="39" a="1"/>
  <c r="BG93" i="39" s="1"/>
  <c r="AV93" i="39" s="1"/>
  <c r="E93" i="39" s="1"/>
  <c r="BF93" i="39" a="1"/>
  <c r="BF93" i="39" s="1"/>
  <c r="BF196" i="39" a="1"/>
  <c r="BF196" i="39" s="1"/>
  <c r="BG196" i="39" a="1"/>
  <c r="BG196" i="39" s="1"/>
  <c r="AV196" i="39" s="1"/>
  <c r="E196" i="39" s="1"/>
  <c r="BF250" i="39" a="1"/>
  <c r="BF250" i="39" s="1"/>
  <c r="BG250" i="39" a="1"/>
  <c r="BG250" i="39" s="1"/>
  <c r="I250" i="39" s="1"/>
  <c r="BG226" i="39" a="1"/>
  <c r="BG226" i="39" s="1"/>
  <c r="AV226" i="39" s="1"/>
  <c r="E226" i="39" s="1"/>
  <c r="BF226" i="39" a="1"/>
  <c r="BF226" i="39" s="1"/>
  <c r="BG98" i="39" a="1"/>
  <c r="BG98" i="39" s="1"/>
  <c r="AV98" i="39" s="1"/>
  <c r="E98" i="39" s="1"/>
  <c r="BF98" i="39" a="1"/>
  <c r="BF98" i="39" s="1"/>
  <c r="BF186" i="39" a="1"/>
  <c r="BF186" i="39" s="1"/>
  <c r="BG186" i="39" a="1"/>
  <c r="BG186" i="39" s="1"/>
  <c r="I186" i="39" s="1"/>
  <c r="BF96" i="39" a="1"/>
  <c r="BF96" i="39" s="1"/>
  <c r="BG96" i="39" a="1"/>
  <c r="BG96" i="39" s="1"/>
  <c r="BF176" i="39" a="1"/>
  <c r="BF176" i="39" s="1"/>
  <c r="BG176" i="39" a="1"/>
  <c r="BG176" i="39" s="1"/>
  <c r="I176" i="39" s="1"/>
  <c r="BG168" i="39" a="1"/>
  <c r="BG168" i="39" s="1"/>
  <c r="AV168" i="39" s="1"/>
  <c r="E168" i="39" s="1"/>
  <c r="BF168" i="39" a="1"/>
  <c r="BF168" i="39" s="1"/>
  <c r="BF15" i="39" a="1"/>
  <c r="BF15" i="39" s="1"/>
  <c r="BG15" i="39" a="1"/>
  <c r="BG15" i="39" s="1"/>
  <c r="AV15" i="39" s="1"/>
  <c r="E15" i="39" s="1"/>
  <c r="BF85" i="39" a="1"/>
  <c r="BF85" i="39" s="1"/>
  <c r="BG85" i="39" a="1"/>
  <c r="BG85" i="39" s="1"/>
  <c r="BG306" i="39" a="1"/>
  <c r="BG306" i="39" s="1"/>
  <c r="AV306" i="39" s="1"/>
  <c r="E306" i="39" s="1"/>
  <c r="BF306" i="39" a="1"/>
  <c r="BF306" i="39" s="1"/>
  <c r="BG150" i="39" a="1"/>
  <c r="BG150" i="39" s="1"/>
  <c r="I150" i="39" s="1"/>
  <c r="BF150" i="39" a="1"/>
  <c r="BF150" i="39" s="1"/>
  <c r="BF229" i="39" a="1"/>
  <c r="BF229" i="39" s="1"/>
  <c r="BG229" i="39" a="1"/>
  <c r="BG229" i="39" s="1"/>
  <c r="AV229" i="39" s="1"/>
  <c r="E229" i="39" s="1"/>
  <c r="BF174" i="39" a="1"/>
  <c r="BF174" i="39" s="1"/>
  <c r="BG174" i="39" a="1"/>
  <c r="BG174" i="39" s="1"/>
  <c r="BF197" i="39" a="1"/>
  <c r="BF197" i="39" s="1"/>
  <c r="BG197" i="39" a="1"/>
  <c r="BG197" i="39" s="1"/>
  <c r="I197" i="39" s="1"/>
  <c r="BF146" i="39" a="1"/>
  <c r="BF146" i="39" s="1"/>
  <c r="BG146" i="39" a="1"/>
  <c r="BG146" i="39" s="1"/>
  <c r="AV146" i="39" s="1"/>
  <c r="E146" i="39" s="1"/>
  <c r="BG183" i="39" a="1"/>
  <c r="BG183" i="39" s="1"/>
  <c r="I183" i="39" s="1"/>
  <c r="BF183" i="39" a="1"/>
  <c r="BF183" i="39" s="1"/>
  <c r="BG185" i="39" a="1"/>
  <c r="BG185" i="39" s="1"/>
  <c r="AV185" i="39" s="1"/>
  <c r="E185" i="39" s="1"/>
  <c r="BF185" i="39" a="1"/>
  <c r="BF185" i="39" s="1"/>
  <c r="BF131" i="39" a="1"/>
  <c r="BF131" i="39" s="1"/>
  <c r="BG131" i="39" a="1"/>
  <c r="BG131" i="39" s="1"/>
  <c r="AV131" i="39" s="1"/>
  <c r="E131" i="39" s="1"/>
  <c r="BG209" i="39" a="1"/>
  <c r="BG209" i="39" s="1"/>
  <c r="I209" i="39" s="1"/>
  <c r="BF209" i="39" a="1"/>
  <c r="BF209" i="39" s="1"/>
  <c r="BG205" i="39" a="1"/>
  <c r="BG205" i="39" s="1"/>
  <c r="AV205" i="39" s="1"/>
  <c r="E205" i="39" s="1"/>
  <c r="BF205" i="39" a="1"/>
  <c r="BF205" i="39" s="1"/>
  <c r="BF322" i="39" a="1"/>
  <c r="BF322" i="39" s="1"/>
  <c r="BG322" i="39" a="1"/>
  <c r="BG322" i="39" s="1"/>
  <c r="I322" i="39" s="1"/>
  <c r="BG211" i="39" a="1"/>
  <c r="BG211" i="39" s="1"/>
  <c r="BF211" i="39" a="1"/>
  <c r="BF211" i="39" s="1"/>
  <c r="BF210" i="39" s="1"/>
  <c r="BF71" i="39" a="1"/>
  <c r="BF71" i="39" s="1"/>
  <c r="BG71" i="39" a="1"/>
  <c r="BG71" i="39" s="1"/>
  <c r="AV71" i="39" s="1"/>
  <c r="E71" i="39" s="1"/>
  <c r="BG178" i="39" a="1"/>
  <c r="BG178" i="39" s="1"/>
  <c r="AV178" i="39" s="1"/>
  <c r="E178" i="39" s="1"/>
  <c r="BF178" i="39" a="1"/>
  <c r="BF178" i="39" s="1"/>
  <c r="BF177" i="39" s="1"/>
  <c r="BG212" i="39" a="1"/>
  <c r="BG212" i="39" s="1"/>
  <c r="AV212" i="39" s="1"/>
  <c r="E212" i="39" s="1"/>
  <c r="BF212" i="39" a="1"/>
  <c r="BF212" i="39" s="1"/>
  <c r="BF39" i="39" a="1"/>
  <c r="BF39" i="39" s="1"/>
  <c r="BG39" i="39" a="1"/>
  <c r="BG39" i="39" s="1"/>
  <c r="AV39" i="39" s="1"/>
  <c r="E39" i="39" s="1"/>
  <c r="BF338" i="39" a="1"/>
  <c r="BF338" i="39" s="1"/>
  <c r="BG338" i="39" a="1"/>
  <c r="BG338" i="39" s="1"/>
  <c r="I338" i="39" s="1"/>
  <c r="BF301" i="39" a="1"/>
  <c r="BF301" i="39" s="1"/>
  <c r="BG301" i="39" a="1"/>
  <c r="BG301" i="39" s="1"/>
  <c r="I301" i="39" s="1"/>
  <c r="BF49" i="39" a="1"/>
  <c r="BF49" i="39" s="1"/>
  <c r="BG49" i="39" a="1"/>
  <c r="BG49" i="39" s="1"/>
  <c r="AV49" i="39" s="1"/>
  <c r="E49" i="39" s="1"/>
  <c r="BF270" i="39" a="1"/>
  <c r="BF270" i="39" s="1"/>
  <c r="BG270" i="39" a="1"/>
  <c r="BG270" i="39" s="1"/>
  <c r="I270" i="39" s="1"/>
  <c r="BG296" i="39" a="1"/>
  <c r="BG296" i="39" s="1"/>
  <c r="BF296" i="39" a="1"/>
  <c r="BF296" i="39" s="1"/>
  <c r="BF193" i="39" a="1"/>
  <c r="BF193" i="39" s="1"/>
  <c r="BG193" i="39" a="1"/>
  <c r="BG193" i="39" s="1"/>
  <c r="BF286" i="39" a="1"/>
  <c r="BF286" i="39" s="1"/>
  <c r="BG286" i="39" a="1"/>
  <c r="BG286" i="39" s="1"/>
  <c r="I286" i="39" s="1"/>
  <c r="BG217" i="39" a="1"/>
  <c r="BG217" i="39" s="1"/>
  <c r="AV217" i="39" s="1"/>
  <c r="E217" i="39" s="1"/>
  <c r="BF217" i="39" a="1"/>
  <c r="BF217" i="39" s="1"/>
  <c r="BG280" i="39" a="1"/>
  <c r="BG280" i="39" s="1"/>
  <c r="BF280" i="39" a="1"/>
  <c r="BF280" i="39" s="1"/>
  <c r="BG74" i="39" a="1"/>
  <c r="BG74" i="39" s="1"/>
  <c r="I74" i="39" s="1"/>
  <c r="BF74" i="39" a="1"/>
  <c r="BF74" i="39" s="1"/>
  <c r="BF67" i="39" s="1"/>
  <c r="BF289" i="39" a="1"/>
  <c r="BF289" i="39" s="1"/>
  <c r="BG289" i="39" a="1"/>
  <c r="BG289" i="39" s="1"/>
  <c r="BF339" i="39" a="1"/>
  <c r="BF339" i="39" s="1"/>
  <c r="BG339" i="39" a="1"/>
  <c r="BG339" i="39" s="1"/>
  <c r="AV339" i="39" s="1"/>
  <c r="E339" i="39" s="1"/>
  <c r="BG99" i="39" a="1"/>
  <c r="BG99" i="39" s="1"/>
  <c r="I99" i="39" s="1"/>
  <c r="BF99" i="39" a="1"/>
  <c r="BF99" i="39" s="1"/>
  <c r="BF115" i="39" a="1"/>
  <c r="BF115" i="39" s="1"/>
  <c r="BG115" i="39" a="1"/>
  <c r="BG115" i="39" s="1"/>
  <c r="AV115" i="39" s="1"/>
  <c r="E115" i="39" s="1"/>
  <c r="BG179" i="39" a="1"/>
  <c r="BG179" i="39" s="1"/>
  <c r="AV179" i="39" s="1"/>
  <c r="E179" i="39" s="1"/>
  <c r="BF179" i="39" a="1"/>
  <c r="BF179" i="39" s="1"/>
  <c r="BF308" i="39" a="1"/>
  <c r="BF308" i="39" s="1"/>
  <c r="BG308" i="39" a="1"/>
  <c r="BG308" i="39" s="1"/>
  <c r="I308" i="39" s="1"/>
  <c r="BG122" i="39" a="1"/>
  <c r="BG122" i="39" s="1"/>
  <c r="BF122" i="39" a="1"/>
  <c r="BF122" i="39" s="1"/>
  <c r="BF295" i="39" a="1"/>
  <c r="BF295" i="39" s="1"/>
  <c r="BG295" i="39" a="1"/>
  <c r="BG295" i="39" s="1"/>
  <c r="I295" i="39" s="1"/>
  <c r="BG172" i="39" a="1"/>
  <c r="BG172" i="39" s="1"/>
  <c r="I172" i="39" s="1"/>
  <c r="BF172" i="39" a="1"/>
  <c r="BF172" i="39" s="1"/>
  <c r="BG247" i="39" a="1"/>
  <c r="BG247" i="39" s="1"/>
  <c r="I247" i="39" s="1"/>
  <c r="BF247" i="39" a="1"/>
  <c r="BF247" i="39" s="1"/>
  <c r="BF244" i="39" s="1"/>
  <c r="BG37" i="39" a="1"/>
  <c r="BG37" i="39" s="1"/>
  <c r="AV37" i="39" s="1"/>
  <c r="E37" i="39" s="1"/>
  <c r="BF37" i="39" a="1"/>
  <c r="BF37" i="39" s="1"/>
  <c r="BF147" i="39" a="1"/>
  <c r="BF147" i="39" s="1"/>
  <c r="BG147" i="39" a="1"/>
  <c r="BG147" i="39" s="1"/>
  <c r="I147" i="39" s="1"/>
  <c r="BG139" i="39" a="1"/>
  <c r="BG139" i="39" s="1"/>
  <c r="BF139" i="39" a="1"/>
  <c r="BF139" i="39" s="1"/>
  <c r="BF255" i="39" a="1"/>
  <c r="BF255" i="39" s="1"/>
  <c r="BG255" i="39" a="1"/>
  <c r="BG255" i="39" s="1"/>
  <c r="I255" i="39" s="1"/>
  <c r="BG230" i="39" a="1"/>
  <c r="BG230" i="39" s="1"/>
  <c r="I230" i="39" s="1"/>
  <c r="BF230" i="39" a="1"/>
  <c r="BF230" i="39" s="1"/>
  <c r="BF175" i="39" a="1"/>
  <c r="BF175" i="39" s="1"/>
  <c r="BG175" i="39" a="1"/>
  <c r="BG175" i="39" s="1"/>
  <c r="I175" i="39" s="1"/>
  <c r="BF156" i="39" a="1"/>
  <c r="BF156" i="39" s="1"/>
  <c r="BG156" i="39" a="1"/>
  <c r="BG156" i="39" s="1"/>
  <c r="I156" i="39" s="1"/>
  <c r="BF144" i="39" a="1"/>
  <c r="BF144" i="39" s="1"/>
  <c r="BG144" i="39" a="1"/>
  <c r="BG144" i="39" s="1"/>
  <c r="BG328" i="39" a="1"/>
  <c r="BG328" i="39" s="1"/>
  <c r="AV328" i="39" s="1"/>
  <c r="E328" i="39" s="1"/>
  <c r="BF328" i="39" a="1"/>
  <c r="BF328" i="39" s="1"/>
  <c r="BG169" i="39" a="1"/>
  <c r="BG169" i="39" s="1"/>
  <c r="AV169" i="39" s="1"/>
  <c r="E169" i="39" s="1"/>
  <c r="BF169" i="39" a="1"/>
  <c r="BF169" i="39" s="1"/>
  <c r="BF166" i="39" s="1"/>
  <c r="BF332" i="39" a="1"/>
  <c r="BF332" i="39" s="1"/>
  <c r="BG332" i="39" a="1"/>
  <c r="BG332" i="39" s="1"/>
  <c r="AV332" i="39" s="1"/>
  <c r="E332" i="39" s="1"/>
  <c r="BG132" i="39" a="1"/>
  <c r="BG132" i="39" s="1"/>
  <c r="AV132" i="39" s="1"/>
  <c r="E132" i="39" s="1"/>
  <c r="BF132" i="39" a="1"/>
  <c r="BF132" i="39" s="1"/>
  <c r="BG12" i="39" a="1"/>
  <c r="BG12" i="39" s="1"/>
  <c r="I12" i="39" s="1"/>
  <c r="BF12" i="39" a="1"/>
  <c r="BF12" i="39" s="1"/>
  <c r="BF154" i="39" a="1"/>
  <c r="BF154" i="39" s="1"/>
  <c r="BG154" i="39" a="1"/>
  <c r="BG154" i="39" s="1"/>
  <c r="AV154" i="39" s="1"/>
  <c r="E154" i="39" s="1"/>
  <c r="BF151" i="39" a="1"/>
  <c r="BF151" i="39" s="1"/>
  <c r="BG151" i="39" a="1"/>
  <c r="BG151" i="39" s="1"/>
  <c r="AV151" i="39" s="1"/>
  <c r="E151" i="39" s="1"/>
  <c r="BG228" i="39" a="1"/>
  <c r="BG228" i="39" s="1"/>
  <c r="I228" i="39" s="1"/>
  <c r="BF228" i="39" a="1"/>
  <c r="BF228" i="39" s="1"/>
  <c r="BF227" i="39" s="1"/>
  <c r="BF143" i="39" a="1"/>
  <c r="BF143" i="39" s="1"/>
  <c r="BG143" i="39" a="1"/>
  <c r="BG143" i="39" s="1"/>
  <c r="AV143" i="39" s="1"/>
  <c r="E143" i="39" s="1"/>
  <c r="BF249" i="39" a="1"/>
  <c r="BF249" i="39" s="1"/>
  <c r="BG249" i="39" a="1"/>
  <c r="BG249" i="39" s="1"/>
  <c r="BG248" i="39" s="1"/>
  <c r="I248" i="39" s="1"/>
  <c r="BG283" i="39" a="1"/>
  <c r="BG283" i="39" s="1"/>
  <c r="I283" i="39" s="1"/>
  <c r="BF283" i="39" a="1"/>
  <c r="BF283" i="39" s="1"/>
  <c r="BF95" i="39" a="1"/>
  <c r="BF95" i="39" s="1"/>
  <c r="BG95" i="39" a="1"/>
  <c r="BG95" i="39" s="1"/>
  <c r="I95" i="39" s="1"/>
  <c r="BF319" i="39" a="1"/>
  <c r="BF319" i="39" s="1"/>
  <c r="BG319" i="39" a="1"/>
  <c r="BG319" i="39" s="1"/>
  <c r="AV319" i="39" s="1"/>
  <c r="E319" i="39" s="1"/>
  <c r="BG203" i="39" a="1"/>
  <c r="BG203" i="39" s="1"/>
  <c r="AV203" i="39" s="1"/>
  <c r="E203" i="39" s="1"/>
  <c r="BF203" i="39" a="1"/>
  <c r="BF203" i="39" s="1"/>
  <c r="BF204" i="39" a="1"/>
  <c r="BF204" i="39" s="1"/>
  <c r="BG204" i="39" a="1"/>
  <c r="BG204" i="39" s="1"/>
  <c r="AV204" i="39" s="1"/>
  <c r="E204" i="39" s="1"/>
  <c r="BG182" i="39" a="1"/>
  <c r="BG182" i="39" s="1"/>
  <c r="AV182" i="39" s="1"/>
  <c r="E182" i="39" s="1"/>
  <c r="BF182" i="39" a="1"/>
  <c r="BF182" i="39" s="1"/>
  <c r="BG252" i="39" a="1"/>
  <c r="BG252" i="39" s="1"/>
  <c r="I252" i="39" s="1"/>
  <c r="BF252" i="39" a="1"/>
  <c r="BF252" i="39" s="1"/>
  <c r="BG305" i="39" a="1"/>
  <c r="BG305" i="39" s="1"/>
  <c r="I305" i="39" s="1"/>
  <c r="BF305" i="39" a="1"/>
  <c r="BF305" i="39" s="1"/>
  <c r="BF304" i="39" s="1"/>
  <c r="BG317" i="39" a="1"/>
  <c r="BG317" i="39" s="1"/>
  <c r="AV317" i="39" s="1"/>
  <c r="E317" i="39" s="1"/>
  <c r="BF317" i="39" a="1"/>
  <c r="BF317" i="39" s="1"/>
  <c r="BG64" i="39" a="1"/>
  <c r="BG64" i="39" s="1"/>
  <c r="I64" i="39" s="1"/>
  <c r="BF64" i="39" a="1"/>
  <c r="BF64" i="39" s="1"/>
  <c r="BF63" i="39" s="1"/>
  <c r="BF43" i="39" a="1"/>
  <c r="BF43" i="39" s="1"/>
  <c r="BG43" i="39" a="1"/>
  <c r="BG43" i="39" s="1"/>
  <c r="AV43" i="39" s="1"/>
  <c r="E43" i="39" s="1"/>
  <c r="BG84" i="39" a="1"/>
  <c r="BG84" i="39" s="1"/>
  <c r="I84" i="39" s="1"/>
  <c r="BF84" i="39" a="1"/>
  <c r="BF84" i="39" s="1"/>
  <c r="BF125" i="39" a="1"/>
  <c r="BF125" i="39" s="1"/>
  <c r="BG125" i="39" a="1"/>
  <c r="BG125" i="39" s="1"/>
  <c r="BG13" i="39" a="1"/>
  <c r="BG13" i="39" s="1"/>
  <c r="I13" i="39" s="1"/>
  <c r="BF13" i="39" a="1"/>
  <c r="BF13" i="39" s="1"/>
  <c r="BF11" i="39" s="1"/>
  <c r="BF337" i="39" a="1"/>
  <c r="BF337" i="39" s="1"/>
  <c r="BG337" i="39" a="1"/>
  <c r="BG337" i="39" s="1"/>
  <c r="I337" i="39" s="1"/>
  <c r="BG320" i="39" a="1"/>
  <c r="BG320" i="39" s="1"/>
  <c r="I320" i="39" s="1"/>
  <c r="BF320" i="39" a="1"/>
  <c r="BF320" i="39" s="1"/>
  <c r="BG335" i="39" a="1"/>
  <c r="BG335" i="39" s="1"/>
  <c r="I335" i="39" s="1"/>
  <c r="BF335" i="39" a="1"/>
  <c r="BF335" i="39" s="1"/>
  <c r="BF200" i="39" a="1"/>
  <c r="BF200" i="39" s="1"/>
  <c r="BG200" i="39" a="1"/>
  <c r="BG200" i="39" s="1"/>
  <c r="BG239" i="39" a="1"/>
  <c r="BG239" i="39" s="1"/>
  <c r="I239" i="39" s="1"/>
  <c r="BF239" i="39" a="1"/>
  <c r="BF239" i="39" s="1"/>
  <c r="BG83" i="39" a="1"/>
  <c r="BG83" i="39" s="1"/>
  <c r="I83" i="39" s="1"/>
  <c r="BF83" i="39" a="1"/>
  <c r="BF83" i="39" s="1"/>
  <c r="BF82" i="39" s="1"/>
  <c r="BF293" i="39" a="1"/>
  <c r="BF293" i="39" s="1"/>
  <c r="BG293" i="39" a="1"/>
  <c r="BG293" i="39" s="1"/>
  <c r="I293" i="39" s="1"/>
  <c r="BF66" i="39" a="1"/>
  <c r="BF66" i="39" s="1"/>
  <c r="BG66" i="39" a="1"/>
  <c r="BG66" i="39" s="1"/>
  <c r="AV66" i="39" s="1"/>
  <c r="E66" i="39" s="1"/>
  <c r="BG89" i="39" a="1"/>
  <c r="BG89" i="39" s="1"/>
  <c r="AV89" i="39" s="1"/>
  <c r="E89" i="39" s="1"/>
  <c r="BF89" i="39" a="1"/>
  <c r="BF89" i="39" s="1"/>
  <c r="BF256" i="39" a="1"/>
  <c r="BF256" i="39" s="1"/>
  <c r="BG256" i="39" a="1"/>
  <c r="BG256" i="39" s="1"/>
  <c r="I256" i="39" s="1"/>
  <c r="BG19" i="39" a="1"/>
  <c r="BG19" i="39" s="1"/>
  <c r="BF19" i="39" a="1"/>
  <c r="BF19" i="39" s="1"/>
  <c r="BF65" i="39" a="1"/>
  <c r="BF65" i="39" s="1"/>
  <c r="BG65" i="39" a="1"/>
  <c r="BG65" i="39" s="1"/>
  <c r="AV65" i="39" s="1"/>
  <c r="E65" i="39" s="1"/>
  <c r="BG158" i="39" a="1"/>
  <c r="BG158" i="39" s="1"/>
  <c r="I158" i="39" s="1"/>
  <c r="BF158" i="39" a="1"/>
  <c r="BF158" i="39" s="1"/>
  <c r="BG141" i="39" a="1"/>
  <c r="BG141" i="39" s="1"/>
  <c r="I141" i="39" s="1"/>
  <c r="BF141" i="39" a="1"/>
  <c r="BF141" i="39" s="1"/>
  <c r="BG16" i="39" a="1"/>
  <c r="BG16" i="39" s="1"/>
  <c r="AV16" i="39" s="1"/>
  <c r="E16" i="39" s="1"/>
  <c r="BF16" i="39" a="1"/>
  <c r="BF16" i="39" s="1"/>
  <c r="BG165" i="39" a="1"/>
  <c r="BG165" i="39" s="1"/>
  <c r="I165" i="39" s="1"/>
  <c r="BF165" i="39" a="1"/>
  <c r="BF165" i="39" s="1"/>
  <c r="BG307" i="39" a="1"/>
  <c r="BG307" i="39" s="1"/>
  <c r="I307" i="39" s="1"/>
  <c r="BF307" i="39" a="1"/>
  <c r="BF307" i="39" s="1"/>
  <c r="BG324" i="39" a="1"/>
  <c r="BG324" i="39" s="1"/>
  <c r="I324" i="39" s="1"/>
  <c r="BF324" i="39" a="1"/>
  <c r="BF324" i="39" s="1"/>
  <c r="BF116" i="39" a="1"/>
  <c r="BF116" i="39" s="1"/>
  <c r="BG116" i="39" a="1"/>
  <c r="BG116" i="39" s="1"/>
  <c r="I116" i="39" s="1"/>
  <c r="BF298" i="39" a="1"/>
  <c r="BF298" i="39" s="1"/>
  <c r="BG298" i="39" a="1"/>
  <c r="BG298" i="39" s="1"/>
  <c r="BG76" i="39" a="1"/>
  <c r="BG76" i="39" s="1"/>
  <c r="AV76" i="39" s="1"/>
  <c r="E76" i="39" s="1"/>
  <c r="BF76" i="39" a="1"/>
  <c r="BF76" i="39" s="1"/>
  <c r="BF251" i="39" a="1"/>
  <c r="BF251" i="39" s="1"/>
  <c r="BG251" i="39" a="1"/>
  <c r="BG251" i="39" s="1"/>
  <c r="BG90" i="39" a="1"/>
  <c r="BG90" i="39" s="1"/>
  <c r="I90" i="39" s="1"/>
  <c r="BF90" i="39" a="1"/>
  <c r="BF90" i="39" s="1"/>
  <c r="BG48" i="39" a="1"/>
  <c r="BG48" i="39" s="1"/>
  <c r="I48" i="39" s="1"/>
  <c r="BF48" i="39" a="1"/>
  <c r="BF48" i="39" s="1"/>
  <c r="BF161" i="39" a="1"/>
  <c r="BF161" i="39" s="1"/>
  <c r="BG161" i="39" a="1"/>
  <c r="BG161" i="39" s="1"/>
  <c r="AV161" i="39" s="1"/>
  <c r="E161" i="39" s="1"/>
  <c r="BF291" i="39" a="1"/>
  <c r="BF291" i="39" s="1"/>
  <c r="BG291" i="39" a="1"/>
  <c r="BG291" i="39" s="1"/>
  <c r="AV291" i="39" s="1"/>
  <c r="E291" i="39" s="1"/>
  <c r="BG254" i="39" a="1"/>
  <c r="BG254" i="39" s="1"/>
  <c r="AV254" i="39" s="1"/>
  <c r="E254" i="39" s="1"/>
  <c r="BF254" i="39" a="1"/>
  <c r="BF254" i="39" s="1"/>
  <c r="BG105" i="39" a="1"/>
  <c r="BG105" i="39" s="1"/>
  <c r="I105" i="39" s="1"/>
  <c r="BF105" i="39" a="1"/>
  <c r="BF105" i="39" s="1"/>
  <c r="BF104" i="39" s="1"/>
  <c r="BF236" i="39" a="1"/>
  <c r="BF236" i="39" s="1"/>
  <c r="BG236" i="39" a="1"/>
  <c r="BG236" i="39" s="1"/>
  <c r="I236" i="39" s="1"/>
  <c r="BF261" i="39" a="1"/>
  <c r="BF261" i="39" s="1"/>
  <c r="BG261" i="39" a="1"/>
  <c r="BG261" i="39" s="1"/>
  <c r="AV261" i="39" s="1"/>
  <c r="E261" i="39" s="1"/>
  <c r="BF17" i="39" a="1"/>
  <c r="BF17" i="39" s="1"/>
  <c r="BG17" i="39" a="1"/>
  <c r="BG17" i="39" s="1"/>
  <c r="AV17" i="39" s="1"/>
  <c r="E17" i="39" s="1"/>
  <c r="BF243" i="39" a="1"/>
  <c r="BF243" i="39" s="1"/>
  <c r="BG243" i="39" a="1"/>
  <c r="BG243" i="39" s="1"/>
  <c r="AV243" i="39" s="1"/>
  <c r="E243" i="39" s="1"/>
  <c r="BG46" i="39" a="1"/>
  <c r="BG46" i="39" s="1"/>
  <c r="BF46" i="39" a="1"/>
  <c r="BF46" i="39" s="1"/>
  <c r="BG118" i="39" a="1"/>
  <c r="BG118" i="39" s="1"/>
  <c r="AV118" i="39" s="1"/>
  <c r="E118" i="39" s="1"/>
  <c r="BF118" i="39" a="1"/>
  <c r="BF118" i="39" s="1"/>
  <c r="BF113" i="39" s="1"/>
  <c r="BG87" i="39" a="1"/>
  <c r="BG87" i="39" s="1"/>
  <c r="BF87" i="39" a="1"/>
  <c r="BF87" i="39" s="1"/>
  <c r="BG126" i="39" a="1"/>
  <c r="BG126" i="39" s="1"/>
  <c r="BF126" i="39" a="1"/>
  <c r="BF126" i="39" s="1"/>
  <c r="BG68" i="39" a="1"/>
  <c r="BG68" i="39" s="1"/>
  <c r="I68" i="39" s="1"/>
  <c r="BF68" i="39" a="1"/>
  <c r="BF68" i="39" s="1"/>
  <c r="BF137" i="39" a="1"/>
  <c r="BF137" i="39" s="1"/>
  <c r="BG137" i="39" a="1"/>
  <c r="BG137" i="39" s="1"/>
  <c r="AV137" i="39" s="1"/>
  <c r="E137" i="39" s="1"/>
  <c r="BG231" i="39" a="1"/>
  <c r="BG231" i="39" s="1"/>
  <c r="BF231" i="39" a="1"/>
  <c r="BF231" i="39" s="1"/>
  <c r="BF271" i="39" a="1"/>
  <c r="BF271" i="39" s="1"/>
  <c r="BG271" i="39" a="1"/>
  <c r="BG271" i="39" s="1"/>
  <c r="I271" i="39" s="1"/>
  <c r="BF312" i="39" a="1"/>
  <c r="BF312" i="39" s="1"/>
  <c r="BG312" i="39" a="1"/>
  <c r="BG312" i="39" s="1"/>
  <c r="AV312" i="39" s="1"/>
  <c r="E312" i="39" s="1"/>
  <c r="BF128" i="39" a="1"/>
  <c r="BF128" i="39" s="1"/>
  <c r="BG128" i="39" a="1"/>
  <c r="BG128" i="39" s="1"/>
  <c r="AV128" i="39" s="1"/>
  <c r="E128" i="39" s="1"/>
  <c r="BG171" i="39" a="1"/>
  <c r="BG171" i="39" s="1"/>
  <c r="BF171" i="39" a="1"/>
  <c r="BF171" i="39" s="1"/>
  <c r="BG112" i="39" a="1"/>
  <c r="BG112" i="39" s="1"/>
  <c r="I112" i="39" s="1"/>
  <c r="BF112" i="39" a="1"/>
  <c r="BF112" i="39" s="1"/>
  <c r="BF149" i="39" a="1"/>
  <c r="BF149" i="39" s="1"/>
  <c r="BG149" i="39" a="1"/>
  <c r="BG149" i="39" s="1"/>
  <c r="BG259" i="39" a="1"/>
  <c r="BG259" i="39" s="1"/>
  <c r="BF259" i="39" a="1"/>
  <c r="BF259" i="39" s="1"/>
  <c r="BF310" i="39" a="1"/>
  <c r="BF310" i="39" s="1"/>
  <c r="BG310" i="39" a="1"/>
  <c r="BG310" i="39" s="1"/>
  <c r="AV310" i="39" s="1"/>
  <c r="E310" i="39" s="1"/>
  <c r="BF38" i="39" a="1"/>
  <c r="BF38" i="39" s="1"/>
  <c r="BG38" i="39" a="1"/>
  <c r="BG38" i="39" s="1"/>
  <c r="BI177" i="39"/>
  <c r="AV288" i="39"/>
  <c r="E288" i="39" s="1"/>
  <c r="AV337" i="39"/>
  <c r="E337" i="39" s="1"/>
  <c r="AV167" i="39"/>
  <c r="E167" i="39" s="1"/>
  <c r="AV321" i="39"/>
  <c r="E321" i="39" s="1"/>
  <c r="I37" i="39"/>
  <c r="AV285" i="39"/>
  <c r="E285" i="39" s="1"/>
  <c r="I319" i="39"/>
  <c r="I106" i="39"/>
  <c r="I222" i="39"/>
  <c r="I232" i="39"/>
  <c r="AV201" i="39"/>
  <c r="E201" i="39" s="1"/>
  <c r="I214" i="39"/>
  <c r="AV135" i="39"/>
  <c r="E135" i="39" s="1"/>
  <c r="I100" i="39"/>
  <c r="AV299" i="39"/>
  <c r="E299" i="39" s="1"/>
  <c r="AV162" i="39"/>
  <c r="E162" i="39" s="1"/>
  <c r="I132" i="39"/>
  <c r="I178" i="39"/>
  <c r="AV42" i="39"/>
  <c r="E42" i="39" s="1"/>
  <c r="AV320" i="39"/>
  <c r="E320" i="39" s="1"/>
  <c r="I213" i="39"/>
  <c r="I203" i="39"/>
  <c r="AV323" i="39"/>
  <c r="E323" i="39" s="1"/>
  <c r="I198" i="39"/>
  <c r="I212" i="39"/>
  <c r="I169" i="39"/>
  <c r="AV112" i="39"/>
  <c r="E112" i="39" s="1"/>
  <c r="AV78" i="39"/>
  <c r="E78" i="39" s="1"/>
  <c r="I111" i="39"/>
  <c r="I226" i="39"/>
  <c r="AV183" i="39"/>
  <c r="E183" i="39" s="1"/>
  <c r="I168" i="39"/>
  <c r="I118" i="39"/>
  <c r="AV48" i="39"/>
  <c r="E48" i="39" s="1"/>
  <c r="AV281" i="39"/>
  <c r="E281" i="39" s="1"/>
  <c r="AV64" i="39"/>
  <c r="E64" i="39" s="1"/>
  <c r="I93" i="39"/>
  <c r="AV307" i="39"/>
  <c r="E307" i="39" s="1"/>
  <c r="AV105" i="39"/>
  <c r="E105" i="39" s="1"/>
  <c r="I326" i="39"/>
  <c r="I36" i="39"/>
  <c r="AV97" i="39"/>
  <c r="E97" i="39" s="1"/>
  <c r="AV247" i="39"/>
  <c r="E247" i="39" s="1"/>
  <c r="I130" i="39"/>
  <c r="I50" i="39"/>
  <c r="AV237" i="39"/>
  <c r="E237" i="39" s="1"/>
  <c r="I329" i="39"/>
  <c r="BF253" i="39"/>
  <c r="I224" i="39"/>
  <c r="I179" i="39"/>
  <c r="I185" i="39"/>
  <c r="AV12" i="39"/>
  <c r="E12" i="39" s="1"/>
  <c r="AV220" i="39"/>
  <c r="E220" i="39" s="1"/>
  <c r="I294" i="39"/>
  <c r="AV336" i="39"/>
  <c r="E336" i="39" s="1"/>
  <c r="AV84" i="39"/>
  <c r="E84" i="39" s="1"/>
  <c r="AV292" i="39"/>
  <c r="E292" i="39" s="1"/>
  <c r="I129" i="39"/>
  <c r="AV99" i="39"/>
  <c r="E99" i="39" s="1"/>
  <c r="W297" i="39"/>
  <c r="BF248" i="39"/>
  <c r="BG206" i="39"/>
  <c r="I206" i="39" s="1"/>
  <c r="I192" i="39"/>
  <c r="AV90" i="39"/>
  <c r="E90" i="39" s="1"/>
  <c r="W309" i="39"/>
  <c r="BF206" i="39"/>
  <c r="AV74" i="39"/>
  <c r="E74" i="39" s="1"/>
  <c r="AV324" i="39"/>
  <c r="E324" i="39" s="1"/>
  <c r="I89" i="39"/>
  <c r="I77" i="39"/>
  <c r="I216" i="39"/>
  <c r="AV252" i="39"/>
  <c r="E252" i="39" s="1"/>
  <c r="I86" i="39"/>
  <c r="I225" i="39"/>
  <c r="I107" i="39"/>
  <c r="AV194" i="39"/>
  <c r="E194" i="39" s="1"/>
  <c r="AV180" i="39"/>
  <c r="E180" i="39" s="1"/>
  <c r="I43" i="39"/>
  <c r="I204" i="39"/>
  <c r="AV286" i="39"/>
  <c r="E286" i="39" s="1"/>
  <c r="I339" i="39"/>
  <c r="I49" i="39"/>
  <c r="M38" i="6"/>
  <c r="L31" i="55" s="1"/>
  <c r="I199" i="39"/>
  <c r="BG284" i="39"/>
  <c r="I284" i="39" s="1"/>
  <c r="AV245" i="39"/>
  <c r="E245" i="39" s="1"/>
  <c r="I146" i="39"/>
  <c r="I254" i="39"/>
  <c r="W227" i="39"/>
  <c r="AV116" i="39"/>
  <c r="E116" i="39" s="1"/>
  <c r="I44" i="39"/>
  <c r="I123" i="39"/>
  <c r="BG297" i="39"/>
  <c r="I297" i="39" s="1"/>
  <c r="I88" i="39"/>
  <c r="AV102" i="39"/>
  <c r="E102" i="39" s="1"/>
  <c r="BF279" i="39"/>
  <c r="AV250" i="39"/>
  <c r="E250" i="39" s="1"/>
  <c r="AV18" i="39"/>
  <c r="E18" i="39" s="1"/>
  <c r="I140" i="39"/>
  <c r="AV338" i="39"/>
  <c r="E338" i="39" s="1"/>
  <c r="AV293" i="39"/>
  <c r="E293" i="39" s="1"/>
  <c r="I151" i="39"/>
  <c r="I143" i="39"/>
  <c r="I170" i="39"/>
  <c r="AV156" i="39"/>
  <c r="E156" i="39" s="1"/>
  <c r="AV95" i="39"/>
  <c r="E95" i="39" s="1"/>
  <c r="I332" i="39"/>
  <c r="I155" i="39"/>
  <c r="AV270" i="39"/>
  <c r="E270" i="39" s="1"/>
  <c r="I303" i="39"/>
  <c r="I263" i="39"/>
  <c r="AV242" i="39"/>
  <c r="E242" i="39" s="1"/>
  <c r="AV322" i="39"/>
  <c r="E322" i="39" s="1"/>
  <c r="AV269" i="39"/>
  <c r="E269" i="39" s="1"/>
  <c r="AV134" i="39"/>
  <c r="E134" i="39" s="1"/>
  <c r="M31" i="6"/>
  <c r="L24" i="55" s="1"/>
  <c r="AV14" i="39"/>
  <c r="E14" i="39" s="1"/>
  <c r="AV246" i="39"/>
  <c r="E246" i="39" s="1"/>
  <c r="I318" i="39"/>
  <c r="I65" i="39"/>
  <c r="I71" i="39"/>
  <c r="M36" i="6"/>
  <c r="L29" i="55" s="1"/>
  <c r="BF127" i="39"/>
  <c r="BF136" i="39"/>
  <c r="BF145" i="39"/>
  <c r="BG120" i="39"/>
  <c r="I120" i="39" s="1"/>
  <c r="BG279" i="39"/>
  <c r="I279" i="39" s="1"/>
  <c r="BF257" i="39"/>
  <c r="AV311" i="39"/>
  <c r="E311" i="39" s="1"/>
  <c r="I79" i="39"/>
  <c r="I181" i="39"/>
  <c r="I317" i="39"/>
  <c r="AV165" i="39"/>
  <c r="E165" i="39" s="1"/>
  <c r="AV172" i="39"/>
  <c r="E172" i="39" s="1"/>
  <c r="I328" i="39"/>
  <c r="AV13" i="39"/>
  <c r="E13" i="39" s="1"/>
  <c r="I76" i="39"/>
  <c r="AV150" i="39"/>
  <c r="E150" i="39" s="1"/>
  <c r="AV230" i="39"/>
  <c r="E230" i="39" s="1"/>
  <c r="I211" i="39"/>
  <c r="I306" i="39"/>
  <c r="I182" i="39"/>
  <c r="AV283" i="39"/>
  <c r="E283" i="39" s="1"/>
  <c r="AV171" i="39"/>
  <c r="E171" i="39" s="1"/>
  <c r="AV121" i="39"/>
  <c r="E121" i="39" s="1"/>
  <c r="AV305" i="39"/>
  <c r="E305" i="39" s="1"/>
  <c r="I98" i="39"/>
  <c r="AV239" i="39"/>
  <c r="E239" i="39" s="1"/>
  <c r="I16" i="39"/>
  <c r="AV87" i="39"/>
  <c r="E87" i="39" s="1"/>
  <c r="I205" i="39"/>
  <c r="M24" i="6"/>
  <c r="L17" i="55" s="1"/>
  <c r="AV73" i="39"/>
  <c r="E73" i="39" s="1"/>
  <c r="AV181" i="39"/>
  <c r="E181" i="39" s="1"/>
  <c r="AV211" i="39"/>
  <c r="E211" i="39" s="1"/>
  <c r="AV83" i="39"/>
  <c r="E83" i="39" s="1"/>
  <c r="BG104" i="39"/>
  <c r="I104" i="39" s="1"/>
  <c r="I171" i="39"/>
  <c r="I173" i="39"/>
  <c r="I202" i="39"/>
  <c r="I333" i="39"/>
  <c r="I208" i="39"/>
  <c r="I217" i="39"/>
  <c r="AV141" i="39"/>
  <c r="E141" i="39" s="1"/>
  <c r="AV335" i="39"/>
  <c r="E335" i="39" s="1"/>
  <c r="AV209" i="39"/>
  <c r="E209" i="39" s="1"/>
  <c r="I87" i="39"/>
  <c r="AV158" i="39"/>
  <c r="E158" i="39" s="1"/>
  <c r="AV228" i="39"/>
  <c r="E228" i="39" s="1"/>
  <c r="W257" i="39"/>
  <c r="M41" i="6"/>
  <c r="L34" i="55" s="1"/>
  <c r="AV110" i="39"/>
  <c r="E110" i="39" s="1"/>
  <c r="I110" i="39"/>
  <c r="W248" i="39"/>
  <c r="M39" i="6"/>
  <c r="L32" i="55" s="1"/>
  <c r="M43" i="6"/>
  <c r="L36" i="55" s="1"/>
  <c r="W279" i="39"/>
  <c r="M20" i="6"/>
  <c r="L13" i="55" s="1"/>
  <c r="W11" i="39"/>
  <c r="M45" i="6"/>
  <c r="L38" i="55" s="1"/>
  <c r="M47" i="6"/>
  <c r="L40" i="55" s="1"/>
  <c r="W304" i="39"/>
  <c r="W127" i="39"/>
  <c r="M29" i="6"/>
  <c r="L22" i="55" s="1"/>
  <c r="W101" i="39"/>
  <c r="M25" i="6"/>
  <c r="L18" i="55" s="1"/>
  <c r="AV138" i="39"/>
  <c r="E138" i="39" s="1"/>
  <c r="I138" i="39"/>
  <c r="AV197" i="39"/>
  <c r="E197" i="39" s="1"/>
  <c r="I296" i="39"/>
  <c r="AV296" i="39"/>
  <c r="E296" i="39" s="1"/>
  <c r="I19" i="39"/>
  <c r="AV19" i="39"/>
  <c r="E19" i="39" s="1"/>
  <c r="I259" i="39"/>
  <c r="AV259" i="39"/>
  <c r="E259" i="39" s="1"/>
  <c r="AV231" i="39"/>
  <c r="E231" i="39" s="1"/>
  <c r="I231" i="39"/>
  <c r="AV109" i="39"/>
  <c r="E109" i="39" s="1"/>
  <c r="I109" i="39"/>
  <c r="AV334" i="39"/>
  <c r="E334" i="39" s="1"/>
  <c r="I334" i="39"/>
  <c r="I163" i="39"/>
  <c r="AV163" i="39"/>
  <c r="E163" i="39" s="1"/>
  <c r="AV241" i="39"/>
  <c r="E241" i="39" s="1"/>
  <c r="I241" i="39"/>
  <c r="I142" i="39"/>
  <c r="AV142" i="39"/>
  <c r="E142" i="39" s="1"/>
  <c r="W104" i="39"/>
  <c r="M26" i="6"/>
  <c r="L19" i="55" s="1"/>
  <c r="W136" i="39"/>
  <c r="M30" i="6"/>
  <c r="L23" i="55" s="1"/>
  <c r="M28" i="6"/>
  <c r="L21" i="55" s="1"/>
  <c r="W120" i="39"/>
  <c r="I81" i="39"/>
  <c r="AV81" i="39"/>
  <c r="E81" i="39" s="1"/>
  <c r="M32" i="6"/>
  <c r="L25" i="55" s="1"/>
  <c r="W157" i="39"/>
  <c r="W284" i="39"/>
  <c r="M44" i="6"/>
  <c r="L37" i="55" s="1"/>
  <c r="W206" i="39"/>
  <c r="M35" i="6"/>
  <c r="L28" i="55" s="1"/>
  <c r="M33" i="6"/>
  <c r="L26" i="55" s="1"/>
  <c r="W166" i="39"/>
  <c r="BG113" i="39"/>
  <c r="AV96" i="39"/>
  <c r="E96" i="39" s="1"/>
  <c r="I96" i="39"/>
  <c r="I260" i="39"/>
  <c r="AV260" i="39"/>
  <c r="E260" i="39" s="1"/>
  <c r="BG67" i="39"/>
  <c r="I340" i="39"/>
  <c r="AV340" i="39"/>
  <c r="E340" i="39" s="1"/>
  <c r="BF284" i="39"/>
  <c r="I148" i="39"/>
  <c r="AV148" i="39"/>
  <c r="E148" i="39" s="1"/>
  <c r="I45" i="39"/>
  <c r="AV45" i="39"/>
  <c r="E45" i="39" s="1"/>
  <c r="AV280" i="39"/>
  <c r="E280" i="39" s="1"/>
  <c r="I280" i="39"/>
  <c r="BF101" i="39"/>
  <c r="I238" i="39"/>
  <c r="AV238" i="39"/>
  <c r="E238" i="39" s="1"/>
  <c r="H28" i="6"/>
  <c r="H21" i="55" s="1"/>
  <c r="AV258" i="39" l="1"/>
  <c r="E258" i="39" s="1"/>
  <c r="AV219" i="39"/>
  <c r="E219" i="39" s="1"/>
  <c r="M40" i="6"/>
  <c r="L33" i="55" s="1"/>
  <c r="BG309" i="39"/>
  <c r="H48" i="6" s="1"/>
  <c r="BG253" i="39"/>
  <c r="I66" i="39"/>
  <c r="I128" i="39"/>
  <c r="I196" i="39"/>
  <c r="I229" i="39"/>
  <c r="BG244" i="39"/>
  <c r="I302" i="39"/>
  <c r="AV255" i="39"/>
  <c r="E255" i="39" s="1"/>
  <c r="I291" i="39"/>
  <c r="AV308" i="39"/>
  <c r="E308" i="39" s="1"/>
  <c r="I137" i="39"/>
  <c r="AV108" i="39"/>
  <c r="E108" i="39" s="1"/>
  <c r="I115" i="39"/>
  <c r="AV159" i="39"/>
  <c r="E159" i="39" s="1"/>
  <c r="W63" i="39"/>
  <c r="M22" i="6"/>
  <c r="L15" i="55" s="1"/>
  <c r="BG227" i="39"/>
  <c r="BG210" i="39"/>
  <c r="H36" i="6" s="1"/>
  <c r="I258" i="39"/>
  <c r="BG327" i="39"/>
  <c r="H49" i="6" s="1"/>
  <c r="BG157" i="39"/>
  <c r="H32" i="6" s="1"/>
  <c r="BG11" i="39"/>
  <c r="BG290" i="39"/>
  <c r="AV256" i="39"/>
  <c r="E256" i="39" s="1"/>
  <c r="I154" i="39"/>
  <c r="AV147" i="39"/>
  <c r="E147" i="39" s="1"/>
  <c r="AV330" i="39"/>
  <c r="E330" i="39" s="1"/>
  <c r="BG304" i="39"/>
  <c r="I304" i="39" s="1"/>
  <c r="I39" i="39"/>
  <c r="BG127" i="39"/>
  <c r="I127" i="39" s="1"/>
  <c r="I41" i="39"/>
  <c r="AV295" i="39"/>
  <c r="E295" i="39" s="1"/>
  <c r="I131" i="39"/>
  <c r="AV176" i="39"/>
  <c r="E176" i="39" s="1"/>
  <c r="AV175" i="39"/>
  <c r="E175" i="39" s="1"/>
  <c r="BF309" i="39"/>
  <c r="BF157" i="39"/>
  <c r="BG136" i="39"/>
  <c r="M23" i="6"/>
  <c r="L16" i="55" s="1"/>
  <c r="BG166" i="39"/>
  <c r="H33" i="6" s="1"/>
  <c r="BG82" i="39"/>
  <c r="I82" i="39" s="1"/>
  <c r="BG63" i="39"/>
  <c r="AV313" i="39"/>
  <c r="E313" i="39" s="1"/>
  <c r="AV186" i="39"/>
  <c r="E186" i="39" s="1"/>
  <c r="AV236" i="39"/>
  <c r="E236" i="39" s="1"/>
  <c r="BG145" i="39"/>
  <c r="H31" i="6" s="1"/>
  <c r="AV221" i="39"/>
  <c r="E221" i="39" s="1"/>
  <c r="I261" i="39"/>
  <c r="I117" i="39"/>
  <c r="I195" i="39"/>
  <c r="AV70" i="39"/>
  <c r="E70" i="39" s="1"/>
  <c r="I310" i="39"/>
  <c r="AV301" i="39"/>
  <c r="E301" i="39" s="1"/>
  <c r="I17" i="39"/>
  <c r="I243" i="39"/>
  <c r="I15" i="39"/>
  <c r="I161" i="39"/>
  <c r="I312" i="39"/>
  <c r="AV68" i="39"/>
  <c r="E68" i="39" s="1"/>
  <c r="AV271" i="39"/>
  <c r="E271" i="39" s="1"/>
  <c r="I149" i="39"/>
  <c r="AV149" i="39"/>
  <c r="E149" i="39" s="1"/>
  <c r="AV125" i="39"/>
  <c r="E125" i="39" s="1"/>
  <c r="I125" i="39"/>
  <c r="AV289" i="39"/>
  <c r="E289" i="39" s="1"/>
  <c r="I289" i="39"/>
  <c r="I174" i="39"/>
  <c r="AV174" i="39"/>
  <c r="E174" i="39" s="1"/>
  <c r="AV85" i="39"/>
  <c r="E85" i="39" s="1"/>
  <c r="I85" i="39"/>
  <c r="AV152" i="39"/>
  <c r="E152" i="39" s="1"/>
  <c r="I152" i="39"/>
  <c r="AV94" i="39"/>
  <c r="E94" i="39" s="1"/>
  <c r="I94" i="39"/>
  <c r="AV160" i="39"/>
  <c r="E160" i="39" s="1"/>
  <c r="I160" i="39"/>
  <c r="AV268" i="39"/>
  <c r="E268" i="39" s="1"/>
  <c r="I268" i="39"/>
  <c r="AV240" i="39"/>
  <c r="E240" i="39" s="1"/>
  <c r="I240" i="39"/>
  <c r="I114" i="39"/>
  <c r="AV114" i="39"/>
  <c r="E114" i="39" s="1"/>
  <c r="I215" i="39"/>
  <c r="AV215" i="39"/>
  <c r="E215" i="39" s="1"/>
  <c r="I207" i="39"/>
  <c r="AV207" i="39"/>
  <c r="E207" i="39" s="1"/>
  <c r="I103" i="39"/>
  <c r="AV103" i="39"/>
  <c r="E103" i="39" s="1"/>
  <c r="I300" i="39"/>
  <c r="AV300" i="39"/>
  <c r="E300" i="39" s="1"/>
  <c r="I218" i="39"/>
  <c r="AV218" i="39"/>
  <c r="E218" i="39" s="1"/>
  <c r="I124" i="39"/>
  <c r="AV124" i="39"/>
  <c r="E124" i="39" s="1"/>
  <c r="AV40" i="39"/>
  <c r="E40" i="39" s="1"/>
  <c r="I40" i="39"/>
  <c r="I267" i="39"/>
  <c r="AV267" i="39"/>
  <c r="E267" i="39" s="1"/>
  <c r="M34" i="6"/>
  <c r="L27" i="55" s="1"/>
  <c r="W177" i="39"/>
  <c r="I46" i="39"/>
  <c r="AV46" i="39"/>
  <c r="E46" i="39" s="1"/>
  <c r="I139" i="39"/>
  <c r="AV139" i="39"/>
  <c r="E139" i="39" s="1"/>
  <c r="AV122" i="39"/>
  <c r="E122" i="39" s="1"/>
  <c r="I122" i="39"/>
  <c r="AV38" i="39"/>
  <c r="E38" i="39" s="1"/>
  <c r="I38" i="39"/>
  <c r="AV251" i="39"/>
  <c r="E251" i="39" s="1"/>
  <c r="I251" i="39"/>
  <c r="I298" i="39"/>
  <c r="AV298" i="39"/>
  <c r="E298" i="39" s="1"/>
  <c r="AV200" i="39"/>
  <c r="E200" i="39" s="1"/>
  <c r="I200" i="39"/>
  <c r="I249" i="39"/>
  <c r="AV249" i="39"/>
  <c r="E249" i="39" s="1"/>
  <c r="AV144" i="39"/>
  <c r="E144" i="39" s="1"/>
  <c r="I144" i="39"/>
  <c r="I193" i="39"/>
  <c r="AV193" i="39"/>
  <c r="E193" i="39" s="1"/>
  <c r="AV223" i="39"/>
  <c r="E223" i="39" s="1"/>
  <c r="I223" i="39"/>
  <c r="I47" i="39"/>
  <c r="AV47" i="39"/>
  <c r="E47" i="39" s="1"/>
  <c r="AV153" i="39"/>
  <c r="E153" i="39" s="1"/>
  <c r="I153" i="39"/>
  <c r="I102" i="39"/>
  <c r="BG101" i="39"/>
  <c r="AV80" i="39"/>
  <c r="E80" i="39" s="1"/>
  <c r="I80" i="39"/>
  <c r="AV331" i="39"/>
  <c r="E331" i="39" s="1"/>
  <c r="I331" i="39"/>
  <c r="AV164" i="39"/>
  <c r="E164" i="39" s="1"/>
  <c r="I164" i="39"/>
  <c r="AV262" i="39"/>
  <c r="E262" i="39" s="1"/>
  <c r="I262" i="39"/>
  <c r="I184" i="39"/>
  <c r="AV184" i="39"/>
  <c r="E184" i="39" s="1"/>
  <c r="I325" i="39"/>
  <c r="AV325" i="39"/>
  <c r="E325" i="39" s="1"/>
  <c r="AV69" i="39"/>
  <c r="E69" i="39" s="1"/>
  <c r="I69" i="39"/>
  <c r="I126" i="39"/>
  <c r="AV126" i="39"/>
  <c r="E126" i="39" s="1"/>
  <c r="I119" i="39"/>
  <c r="AV119" i="39"/>
  <c r="E119" i="39" s="1"/>
  <c r="H35" i="6"/>
  <c r="K35" i="6" s="1"/>
  <c r="H26" i="6"/>
  <c r="H29" i="6"/>
  <c r="K12" i="89" s="1"/>
  <c r="I145" i="39"/>
  <c r="H24" i="6"/>
  <c r="K24" i="6" s="1"/>
  <c r="H39" i="6"/>
  <c r="H32" i="55" s="1"/>
  <c r="J32" i="55" s="1"/>
  <c r="H44" i="6"/>
  <c r="T12" i="89" s="1"/>
  <c r="H46" i="6"/>
  <c r="H39" i="55" s="1"/>
  <c r="J39" i="55" s="1"/>
  <c r="V12" i="89"/>
  <c r="V14" i="89" s="1" a="1"/>
  <c r="V14" i="89" s="1"/>
  <c r="I166" i="39"/>
  <c r="H43" i="6"/>
  <c r="K43" i="6" s="1"/>
  <c r="G36" i="55" s="1"/>
  <c r="I210" i="39"/>
  <c r="I157" i="39"/>
  <c r="I177" i="39"/>
  <c r="Z12" i="89"/>
  <c r="K33" i="6"/>
  <c r="H26" i="55"/>
  <c r="J26" i="55" s="1"/>
  <c r="H40" i="6"/>
  <c r="I253" i="39"/>
  <c r="I290" i="39"/>
  <c r="H45" i="6"/>
  <c r="I309" i="39"/>
  <c r="I327" i="39"/>
  <c r="J21" i="55"/>
  <c r="H25" i="55"/>
  <c r="J25" i="55" s="1"/>
  <c r="K32" i="6"/>
  <c r="L43" i="55"/>
  <c r="H9" i="55" s="1"/>
  <c r="H37" i="6"/>
  <c r="I227" i="39"/>
  <c r="E12" i="89"/>
  <c r="H23" i="6"/>
  <c r="I67" i="39"/>
  <c r="H27" i="6"/>
  <c r="I113" i="39"/>
  <c r="H41" i="6"/>
  <c r="I257" i="39"/>
  <c r="H30" i="6"/>
  <c r="I136" i="39"/>
  <c r="K28" i="6"/>
  <c r="R12" i="89"/>
  <c r="S12" i="89"/>
  <c r="K36" i="6"/>
  <c r="H29" i="55"/>
  <c r="J29" i="55" s="1"/>
  <c r="P12" i="89"/>
  <c r="H42" i="55"/>
  <c r="J42" i="55" s="1"/>
  <c r="AC12" i="89"/>
  <c r="K31" i="6"/>
  <c r="H24" i="55"/>
  <c r="J24" i="55" s="1"/>
  <c r="J12" i="89"/>
  <c r="H41" i="55"/>
  <c r="J41" i="55" s="1"/>
  <c r="K48" i="6"/>
  <c r="K26" i="6"/>
  <c r="H19" i="55"/>
  <c r="J19" i="55" s="1"/>
  <c r="W12" i="89"/>
  <c r="H28" i="55"/>
  <c r="J28" i="55" s="1"/>
  <c r="L12" i="89"/>
  <c r="K34" i="6"/>
  <c r="H27" i="55"/>
  <c r="J27" i="55" s="1"/>
  <c r="H47" i="6" l="1"/>
  <c r="I63" i="39"/>
  <c r="H22" i="6"/>
  <c r="I11" i="39"/>
  <c r="H20" i="6"/>
  <c r="H38" i="6"/>
  <c r="I51" i="6" s="1"/>
  <c r="I244" i="39"/>
  <c r="H25" i="6"/>
  <c r="I101" i="39"/>
  <c r="H22" i="55"/>
  <c r="J22" i="55" s="1"/>
  <c r="I12" i="89"/>
  <c r="K46" i="6"/>
  <c r="BE302" i="39" s="1"/>
  <c r="H17" i="55"/>
  <c r="J17" i="55" s="1"/>
  <c r="H37" i="55"/>
  <c r="J37" i="55" s="1"/>
  <c r="O12" i="89"/>
  <c r="O15" i="89" s="1" a="1"/>
  <c r="O15" i="89" s="1"/>
  <c r="K29" i="6"/>
  <c r="BE133" i="39" s="1"/>
  <c r="K39" i="6"/>
  <c r="K44" i="6"/>
  <c r="BE285" i="39" s="1"/>
  <c r="V15" i="89" a="1"/>
  <c r="V15" i="89" s="1"/>
  <c r="BE282" i="39"/>
  <c r="BA282" i="39" s="1"/>
  <c r="H282" i="39" s="1"/>
  <c r="BE281" i="39"/>
  <c r="BE283" i="39"/>
  <c r="BH283" i="39" s="1" a="1"/>
  <c r="BH283" i="39" s="1"/>
  <c r="J283" i="39" s="1"/>
  <c r="U12" i="89"/>
  <c r="U14" i="89" s="1" a="1"/>
  <c r="U14" i="89" s="1"/>
  <c r="BE279" i="39"/>
  <c r="Y279" i="39" s="1"/>
  <c r="H36" i="55"/>
  <c r="J36" i="55" s="1"/>
  <c r="BE280" i="39"/>
  <c r="AW280" i="39" s="1"/>
  <c r="F280" i="39" s="1"/>
  <c r="L43" i="6"/>
  <c r="D36" i="55" s="1"/>
  <c r="H33" i="55"/>
  <c r="J33" i="55" s="1"/>
  <c r="K40" i="6"/>
  <c r="AA12" i="89"/>
  <c r="Q12" i="89"/>
  <c r="H38" i="55"/>
  <c r="J38" i="55" s="1"/>
  <c r="K45" i="6"/>
  <c r="Z15" i="89" a="1"/>
  <c r="Z15" i="89" s="1"/>
  <c r="Z14" i="89" a="1"/>
  <c r="Z14" i="89" s="1"/>
  <c r="BE166" i="39"/>
  <c r="Y166" i="39" s="1"/>
  <c r="BE169" i="39"/>
  <c r="BE171" i="39"/>
  <c r="BE174" i="39"/>
  <c r="G26" i="55"/>
  <c r="I26" i="55" s="1"/>
  <c r="K26" i="55" s="1"/>
  <c r="BE167" i="39"/>
  <c r="L33" i="6"/>
  <c r="D26" i="55" s="1"/>
  <c r="BE170" i="39"/>
  <c r="BE172" i="39"/>
  <c r="BE175" i="39"/>
  <c r="BE173" i="39"/>
  <c r="BE176" i="39"/>
  <c r="BE168" i="39"/>
  <c r="BE162" i="39"/>
  <c r="BE158" i="39"/>
  <c r="BE159" i="39"/>
  <c r="BE157" i="39"/>
  <c r="Y157" i="39" s="1"/>
  <c r="BE161" i="39"/>
  <c r="BE160" i="39"/>
  <c r="BE163" i="39"/>
  <c r="L32" i="6"/>
  <c r="D25" i="55" s="1"/>
  <c r="BE165" i="39"/>
  <c r="BE164" i="39"/>
  <c r="G25" i="55"/>
  <c r="I25" i="55" s="1"/>
  <c r="K25" i="55" s="1"/>
  <c r="BE86" i="39"/>
  <c r="BE89" i="39"/>
  <c r="BE84" i="39"/>
  <c r="BE98" i="39"/>
  <c r="BE100" i="39"/>
  <c r="BE90" i="39"/>
  <c r="BE94" i="39"/>
  <c r="BE91" i="39"/>
  <c r="L24" i="6"/>
  <c r="D17" i="55" s="1"/>
  <c r="BE83" i="39"/>
  <c r="BE95" i="39"/>
  <c r="BE87" i="39"/>
  <c r="BE82" i="39"/>
  <c r="Y82" i="39" s="1"/>
  <c r="BE97" i="39"/>
  <c r="BE99" i="39"/>
  <c r="BE93" i="39"/>
  <c r="G17" i="55"/>
  <c r="I17" i="55" s="1"/>
  <c r="K17" i="55" s="1"/>
  <c r="BE85" i="39"/>
  <c r="BE92" i="39"/>
  <c r="BE88" i="39"/>
  <c r="BE96" i="39"/>
  <c r="E14" i="89" a="1"/>
  <c r="E14" i="89" s="1"/>
  <c r="E15" i="89" a="1"/>
  <c r="E15" i="89" s="1"/>
  <c r="K37" i="6"/>
  <c r="Y12" i="89"/>
  <c r="H30" i="55"/>
  <c r="J30" i="55" s="1"/>
  <c r="K27" i="6"/>
  <c r="X12" i="89"/>
  <c r="H20" i="55"/>
  <c r="J20" i="55" s="1"/>
  <c r="H34" i="55"/>
  <c r="J34" i="55" s="1"/>
  <c r="K41" i="6"/>
  <c r="BE266" i="39" s="1"/>
  <c r="M12" i="89"/>
  <c r="H16" i="55"/>
  <c r="J16" i="55" s="1"/>
  <c r="K23" i="6"/>
  <c r="AB12" i="89"/>
  <c r="H23" i="55"/>
  <c r="J23" i="55" s="1"/>
  <c r="K30" i="6"/>
  <c r="L46" i="6"/>
  <c r="D39" i="55" s="1"/>
  <c r="BE298" i="39"/>
  <c r="R14" i="89" a="1"/>
  <c r="R14" i="89" s="1"/>
  <c r="R15" i="89" a="1"/>
  <c r="R15" i="89" s="1"/>
  <c r="BE123" i="39"/>
  <c r="BE122" i="39"/>
  <c r="G21" i="55"/>
  <c r="I21" i="55" s="1"/>
  <c r="K21" i="55" s="1"/>
  <c r="BE126" i="39"/>
  <c r="L28" i="6"/>
  <c r="D21" i="55" s="1"/>
  <c r="BE120" i="39"/>
  <c r="Y120" i="39" s="1"/>
  <c r="BE125" i="39"/>
  <c r="BE121" i="39"/>
  <c r="BE124" i="39"/>
  <c r="S15" i="89" a="1"/>
  <c r="S15" i="89" s="1"/>
  <c r="S14" i="89" a="1"/>
  <c r="S14" i="89" s="1"/>
  <c r="BE212" i="39"/>
  <c r="BE218" i="39"/>
  <c r="BE211" i="39"/>
  <c r="BE217" i="39"/>
  <c r="G29" i="55"/>
  <c r="I29" i="55" s="1"/>
  <c r="K29" i="55" s="1"/>
  <c r="BE213" i="39"/>
  <c r="BE224" i="39"/>
  <c r="L36" i="6"/>
  <c r="D29" i="55" s="1"/>
  <c r="BE222" i="39"/>
  <c r="BE226" i="39"/>
  <c r="BE223" i="39"/>
  <c r="BE220" i="39"/>
  <c r="BE221" i="39"/>
  <c r="BE216" i="39"/>
  <c r="BE214" i="39"/>
  <c r="BE215" i="39"/>
  <c r="BE225" i="39"/>
  <c r="BE210" i="39"/>
  <c r="Y210" i="39" s="1"/>
  <c r="BE219" i="39"/>
  <c r="W15" i="89" a="1"/>
  <c r="W15" i="89" s="1"/>
  <c r="W14" i="89" a="1"/>
  <c r="W14" i="89" s="1"/>
  <c r="P14" i="89" a="1"/>
  <c r="P14" i="89" s="1"/>
  <c r="K49" i="6" s="1"/>
  <c r="P15" i="89" a="1"/>
  <c r="P15" i="89" s="1"/>
  <c r="BE189" i="39"/>
  <c r="BE187" i="39"/>
  <c r="BE199" i="39"/>
  <c r="BE178" i="39"/>
  <c r="BE180" i="39"/>
  <c r="BE197" i="39"/>
  <c r="BE202" i="39"/>
  <c r="BE182" i="39"/>
  <c r="BE183" i="39"/>
  <c r="BE204" i="39"/>
  <c r="BE205" i="39"/>
  <c r="L34" i="6"/>
  <c r="D27" i="55" s="1"/>
  <c r="BE203" i="39"/>
  <c r="BE200" i="39"/>
  <c r="BE190" i="39"/>
  <c r="BE194" i="39"/>
  <c r="BE193" i="39"/>
  <c r="BE196" i="39"/>
  <c r="BE186" i="39"/>
  <c r="BE198" i="39"/>
  <c r="BE179" i="39"/>
  <c r="G27" i="55"/>
  <c r="I27" i="55" s="1"/>
  <c r="K27" i="55" s="1"/>
  <c r="BE192" i="39"/>
  <c r="BE191" i="39"/>
  <c r="BE177" i="39"/>
  <c r="Y177" i="39" s="1"/>
  <c r="BE184" i="39"/>
  <c r="BE188" i="39"/>
  <c r="BE185" i="39"/>
  <c r="BE201" i="39"/>
  <c r="BE195" i="39"/>
  <c r="BE181" i="39"/>
  <c r="L15" i="89" a="1"/>
  <c r="L15" i="89" s="1"/>
  <c r="L14" i="89" a="1"/>
  <c r="L14" i="89" s="1"/>
  <c r="J14" i="89" a="1"/>
  <c r="J14" i="89" s="1"/>
  <c r="J15" i="89" a="1"/>
  <c r="J15" i="89" s="1"/>
  <c r="BE145" i="39"/>
  <c r="Y145" i="39" s="1"/>
  <c r="BE148" i="39"/>
  <c r="BE146" i="39"/>
  <c r="BE156" i="39"/>
  <c r="BE153" i="39"/>
  <c r="BE150" i="39"/>
  <c r="BE147" i="39"/>
  <c r="BE155" i="39"/>
  <c r="L31" i="6"/>
  <c r="D24" i="55" s="1"/>
  <c r="BE149" i="39"/>
  <c r="G24" i="55"/>
  <c r="I24" i="55" s="1"/>
  <c r="K24" i="55" s="1"/>
  <c r="BE151" i="39"/>
  <c r="BE152" i="39"/>
  <c r="BE154" i="39"/>
  <c r="I15" i="89" a="1"/>
  <c r="I15" i="89" s="1"/>
  <c r="I14" i="89" a="1"/>
  <c r="I14" i="89" s="1"/>
  <c r="O14" i="89" a="1"/>
  <c r="O14" i="89" s="1"/>
  <c r="BE112" i="39"/>
  <c r="G19" i="55"/>
  <c r="I19" i="55" s="1"/>
  <c r="K19" i="55" s="1"/>
  <c r="BE109" i="39"/>
  <c r="BE107" i="39"/>
  <c r="BE104" i="39"/>
  <c r="Y104" i="39" s="1"/>
  <c r="BE111" i="39"/>
  <c r="BE110" i="39"/>
  <c r="BE106" i="39"/>
  <c r="BE105" i="39"/>
  <c r="BE108" i="39"/>
  <c r="L26" i="6"/>
  <c r="D19" i="55" s="1"/>
  <c r="BE134" i="39"/>
  <c r="BE128" i="39"/>
  <c r="AC14" i="89" a="1"/>
  <c r="AC14" i="89" s="1"/>
  <c r="AC15" i="89" a="1"/>
  <c r="AC15" i="89" s="1"/>
  <c r="BE288" i="39"/>
  <c r="BE286" i="39"/>
  <c r="BE284" i="39"/>
  <c r="Y284" i="39" s="1"/>
  <c r="BE289" i="39"/>
  <c r="L44" i="6"/>
  <c r="D37" i="55" s="1"/>
  <c r="G37" i="55"/>
  <c r="I37" i="55" s="1"/>
  <c r="K37" i="55" s="1"/>
  <c r="BE251" i="39"/>
  <c r="BE248" i="39"/>
  <c r="Y248" i="39" s="1"/>
  <c r="BE252" i="39"/>
  <c r="BE250" i="39"/>
  <c r="L39" i="6"/>
  <c r="D32" i="55" s="1"/>
  <c r="BE249" i="39"/>
  <c r="G32" i="55"/>
  <c r="I32" i="55" s="1"/>
  <c r="K32" i="55" s="1"/>
  <c r="BE207" i="39"/>
  <c r="G28" i="55"/>
  <c r="I28" i="55" s="1"/>
  <c r="K28" i="55" s="1"/>
  <c r="BE209" i="39"/>
  <c r="BE208" i="39"/>
  <c r="BE206" i="39"/>
  <c r="Y206" i="39" s="1"/>
  <c r="L35" i="6"/>
  <c r="D28" i="55" s="1"/>
  <c r="BE312" i="39"/>
  <c r="BE315" i="39"/>
  <c r="BE317" i="39"/>
  <c r="BE313" i="39"/>
  <c r="BE309" i="39"/>
  <c r="Y309" i="39" s="1"/>
  <c r="BE321" i="39"/>
  <c r="BE320" i="39"/>
  <c r="G41" i="55"/>
  <c r="I41" i="55" s="1"/>
  <c r="K41" i="55" s="1"/>
  <c r="BE311" i="39"/>
  <c r="BE319" i="39"/>
  <c r="L48" i="6"/>
  <c r="D41" i="55" s="1"/>
  <c r="BE316" i="39"/>
  <c r="BE326" i="39"/>
  <c r="BE325" i="39"/>
  <c r="BE314" i="39"/>
  <c r="BE323" i="39"/>
  <c r="BE322" i="39"/>
  <c r="BE318" i="39"/>
  <c r="BE324" i="39"/>
  <c r="BE310" i="39"/>
  <c r="K15" i="89" a="1"/>
  <c r="K15" i="89" s="1"/>
  <c r="K14" i="89" a="1"/>
  <c r="K14" i="89" s="1"/>
  <c r="T14" i="89" a="1"/>
  <c r="T14" i="89" s="1"/>
  <c r="T15" i="89" a="1"/>
  <c r="T15" i="89" s="1"/>
  <c r="H15" i="55" l="1"/>
  <c r="J15" i="55" s="1"/>
  <c r="K22" i="6"/>
  <c r="G12" i="89"/>
  <c r="H31" i="55"/>
  <c r="J31" i="55" s="1"/>
  <c r="K38" i="6"/>
  <c r="H12" i="89"/>
  <c r="BE287" i="39"/>
  <c r="H51" i="6"/>
  <c r="O51" i="6" s="1" a="1"/>
  <c r="O51" i="6" s="1"/>
  <c r="E43" i="55" s="1"/>
  <c r="L6" i="55" s="1"/>
  <c r="H13" i="55"/>
  <c r="J13" i="55" s="1"/>
  <c r="K20" i="6"/>
  <c r="C12" i="89"/>
  <c r="C4" i="89" s="1" a="1"/>
  <c r="C4" i="89" s="1"/>
  <c r="H8" i="6" s="1"/>
  <c r="T20" i="6" s="1"/>
  <c r="K47" i="6"/>
  <c r="H40" i="55"/>
  <c r="J40" i="55" s="1"/>
  <c r="AD12" i="89"/>
  <c r="K25" i="6"/>
  <c r="H18" i="55"/>
  <c r="J18" i="55" s="1"/>
  <c r="BE130" i="39"/>
  <c r="BH130" i="39" s="1" a="1"/>
  <c r="BH130" i="39" s="1"/>
  <c r="J130" i="39" s="1"/>
  <c r="BE132" i="39"/>
  <c r="BE131" i="39"/>
  <c r="BA131" i="39" s="1"/>
  <c r="H131" i="39" s="1"/>
  <c r="L29" i="6"/>
  <c r="D22" i="55" s="1"/>
  <c r="BE129" i="39"/>
  <c r="BA129" i="39" s="1"/>
  <c r="H129" i="39" s="1"/>
  <c r="BE299" i="39"/>
  <c r="BE297" i="39"/>
  <c r="Y297" i="39" s="1"/>
  <c r="BE303" i="39"/>
  <c r="BH303" i="39" s="1" a="1"/>
  <c r="BH303" i="39" s="1"/>
  <c r="J303" i="39" s="1"/>
  <c r="BE301" i="39"/>
  <c r="AW301" i="39" s="1"/>
  <c r="F301" i="39" s="1"/>
  <c r="G22" i="55"/>
  <c r="I22" i="55" s="1"/>
  <c r="K22" i="55" s="1"/>
  <c r="BE127" i="39"/>
  <c r="Y127" i="39" s="1"/>
  <c r="BE135" i="39"/>
  <c r="BA135" i="39" s="1"/>
  <c r="H135" i="39" s="1"/>
  <c r="G39" i="55"/>
  <c r="I39" i="55" s="1"/>
  <c r="K39" i="55" s="1"/>
  <c r="BE300" i="39"/>
  <c r="BH266" i="39" a="1"/>
  <c r="BH266" i="39" s="1"/>
  <c r="J266" i="39" s="1"/>
  <c r="BA266" i="39"/>
  <c r="H266" i="39" s="1"/>
  <c r="AW266" i="39"/>
  <c r="F266" i="39" s="1"/>
  <c r="BE264" i="39"/>
  <c r="BH264" i="39" s="1" a="1"/>
  <c r="BH264" i="39" s="1"/>
  <c r="J264" i="39" s="1"/>
  <c r="BE265" i="39"/>
  <c r="U15" i="89" a="1"/>
  <c r="U15" i="89" s="1"/>
  <c r="I36" i="55"/>
  <c r="K36" i="55" s="1"/>
  <c r="BA133" i="39"/>
  <c r="H133" i="39" s="1"/>
  <c r="BH133" i="39" a="1"/>
  <c r="BH133" i="39" s="1"/>
  <c r="J133" i="39" s="1"/>
  <c r="AW133" i="39"/>
  <c r="F133" i="39" s="1"/>
  <c r="BA283" i="39"/>
  <c r="H283" i="39" s="1"/>
  <c r="AW283" i="39"/>
  <c r="F283" i="39" s="1"/>
  <c r="BH281" i="39" a="1"/>
  <c r="BH281" i="39" s="1"/>
  <c r="J281" i="39" s="1"/>
  <c r="AW281" i="39"/>
  <c r="F281" i="39" s="1"/>
  <c r="BA281" i="39"/>
  <c r="H281" i="39" s="1"/>
  <c r="BH282" i="39" a="1"/>
  <c r="BH282" i="39" s="1"/>
  <c r="J282" i="39" s="1"/>
  <c r="AW282" i="39"/>
  <c r="F282" i="39" s="1"/>
  <c r="H43" i="55"/>
  <c r="J43" i="55" s="1"/>
  <c r="BH280" i="39" a="1"/>
  <c r="BH280" i="39" s="1"/>
  <c r="BA280" i="39"/>
  <c r="H280" i="39" s="1"/>
  <c r="BH168" i="39" a="1"/>
  <c r="BH168" i="39" s="1"/>
  <c r="J168" i="39" s="1"/>
  <c r="AW168" i="39"/>
  <c r="F168" i="39" s="1"/>
  <c r="BA168" i="39"/>
  <c r="H168" i="39" s="1"/>
  <c r="AW172" i="39"/>
  <c r="F172" i="39" s="1"/>
  <c r="BH172" i="39" a="1"/>
  <c r="BH172" i="39" s="1"/>
  <c r="J172" i="39" s="1"/>
  <c r="BA172" i="39"/>
  <c r="H172" i="39" s="1"/>
  <c r="L45" i="6"/>
  <c r="D38" i="55" s="1"/>
  <c r="BE290" i="39"/>
  <c r="Y290" i="39" s="1"/>
  <c r="G38" i="55"/>
  <c r="I38" i="55" s="1"/>
  <c r="K38" i="55" s="1"/>
  <c r="BE295" i="39"/>
  <c r="BE292" i="39"/>
  <c r="BE296" i="39"/>
  <c r="BE293" i="39"/>
  <c r="BE291" i="39"/>
  <c r="BE294" i="39"/>
  <c r="BE256" i="39"/>
  <c r="L40" i="6"/>
  <c r="D33" i="55" s="1"/>
  <c r="BE255" i="39"/>
  <c r="G33" i="55"/>
  <c r="I33" i="55" s="1"/>
  <c r="K33" i="55" s="1"/>
  <c r="BE254" i="39"/>
  <c r="BE253" i="39"/>
  <c r="Y253" i="39" s="1"/>
  <c r="BH176" i="39" a="1"/>
  <c r="BH176" i="39" s="1"/>
  <c r="J176" i="39" s="1"/>
  <c r="AW176" i="39"/>
  <c r="F176" i="39" s="1"/>
  <c r="BA176" i="39"/>
  <c r="H176" i="39" s="1"/>
  <c r="AW170" i="39"/>
  <c r="F170" i="39" s="1"/>
  <c r="BH170" i="39" a="1"/>
  <c r="BH170" i="39" s="1"/>
  <c r="J170" i="39" s="1"/>
  <c r="BA170" i="39"/>
  <c r="H170" i="39" s="1"/>
  <c r="BH174" i="39" a="1"/>
  <c r="BH174" i="39" s="1"/>
  <c r="J174" i="39" s="1"/>
  <c r="AW174" i="39"/>
  <c r="F174" i="39" s="1"/>
  <c r="BA174" i="39"/>
  <c r="H174" i="39" s="1"/>
  <c r="BA173" i="39"/>
  <c r="H173" i="39" s="1"/>
  <c r="BH173" i="39" a="1"/>
  <c r="BH173" i="39" s="1"/>
  <c r="J173" i="39" s="1"/>
  <c r="AW173" i="39"/>
  <c r="F173" i="39" s="1"/>
  <c r="BH171" i="39" a="1"/>
  <c r="BH171" i="39" s="1"/>
  <c r="J171" i="39" s="1"/>
  <c r="AW171" i="39"/>
  <c r="F171" i="39" s="1"/>
  <c r="BA171" i="39"/>
  <c r="H171" i="39" s="1"/>
  <c r="Q14" i="89" a="1"/>
  <c r="Q14" i="89" s="1"/>
  <c r="Q15" i="89" a="1"/>
  <c r="Q15" i="89" s="1"/>
  <c r="BA175" i="39"/>
  <c r="H175" i="39" s="1"/>
  <c r="BH175" i="39" a="1"/>
  <c r="BH175" i="39" s="1"/>
  <c r="J175" i="39" s="1"/>
  <c r="AW175" i="39"/>
  <c r="F175" i="39" s="1"/>
  <c r="BA167" i="39"/>
  <c r="H167" i="39" s="1"/>
  <c r="BH167" i="39" a="1"/>
  <c r="BH167" i="39" s="1"/>
  <c r="AW167" i="39"/>
  <c r="F167" i="39" s="1"/>
  <c r="AW169" i="39"/>
  <c r="F169" i="39" s="1"/>
  <c r="BA169" i="39"/>
  <c r="H169" i="39" s="1"/>
  <c r="BH169" i="39" a="1"/>
  <c r="BH169" i="39" s="1"/>
  <c r="J169" i="39" s="1"/>
  <c r="AA14" i="89" a="1"/>
  <c r="AA14" i="89" s="1"/>
  <c r="AA15" i="89" a="1"/>
  <c r="AA15" i="89" s="1"/>
  <c r="BA164" i="39"/>
  <c r="H164" i="39" s="1"/>
  <c r="BH164" i="39" a="1"/>
  <c r="BH164" i="39" s="1"/>
  <c r="J164" i="39" s="1"/>
  <c r="AW164" i="39"/>
  <c r="F164" i="39" s="1"/>
  <c r="BA160" i="39"/>
  <c r="H160" i="39" s="1"/>
  <c r="BH160" i="39" a="1"/>
  <c r="BH160" i="39" s="1"/>
  <c r="J160" i="39" s="1"/>
  <c r="AW160" i="39"/>
  <c r="F160" i="39" s="1"/>
  <c r="AW158" i="39"/>
  <c r="F158" i="39" s="1"/>
  <c r="BH158" i="39" a="1"/>
  <c r="BH158" i="39" s="1"/>
  <c r="BA158" i="39"/>
  <c r="H158" i="39" s="1"/>
  <c r="BH165" i="39" a="1"/>
  <c r="BH165" i="39" s="1"/>
  <c r="J165" i="39" s="1"/>
  <c r="BA165" i="39"/>
  <c r="H165" i="39" s="1"/>
  <c r="AW165" i="39"/>
  <c r="F165" i="39" s="1"/>
  <c r="BA161" i="39"/>
  <c r="H161" i="39" s="1"/>
  <c r="AW161" i="39"/>
  <c r="F161" i="39" s="1"/>
  <c r="BH161" i="39" a="1"/>
  <c r="BH161" i="39" s="1"/>
  <c r="J161" i="39" s="1"/>
  <c r="AW162" i="39"/>
  <c r="F162" i="39" s="1"/>
  <c r="BA162" i="39"/>
  <c r="H162" i="39" s="1"/>
  <c r="BH162" i="39" a="1"/>
  <c r="BH162" i="39" s="1"/>
  <c r="J162" i="39" s="1"/>
  <c r="K51" i="6" a="1"/>
  <c r="K51" i="6" s="1"/>
  <c r="G43" i="55" s="1"/>
  <c r="L9" i="55" s="1"/>
  <c r="BH163" i="39" a="1"/>
  <c r="BH163" i="39" s="1"/>
  <c r="J163" i="39" s="1"/>
  <c r="BA163" i="39"/>
  <c r="H163" i="39" s="1"/>
  <c r="AW163" i="39"/>
  <c r="F163" i="39" s="1"/>
  <c r="AW159" i="39"/>
  <c r="F159" i="39" s="1"/>
  <c r="BA159" i="39"/>
  <c r="H159" i="39" s="1"/>
  <c r="BH159" i="39" a="1"/>
  <c r="BH159" i="39" s="1"/>
  <c r="J159" i="39" s="1"/>
  <c r="BE240" i="39"/>
  <c r="BE242" i="39"/>
  <c r="BE243" i="39"/>
  <c r="BE239" i="39"/>
  <c r="L37" i="6"/>
  <c r="D30" i="55" s="1"/>
  <c r="BE237" i="39"/>
  <c r="BE227" i="39"/>
  <c r="Y227" i="39" s="1"/>
  <c r="BE232" i="39"/>
  <c r="BE231" i="39"/>
  <c r="G30" i="55"/>
  <c r="I30" i="55" s="1"/>
  <c r="K30" i="55" s="1"/>
  <c r="BE230" i="39"/>
  <c r="BE228" i="39"/>
  <c r="BE229" i="39"/>
  <c r="BE236" i="39"/>
  <c r="BE233" i="39"/>
  <c r="BE238" i="39"/>
  <c r="BE234" i="39"/>
  <c r="BE235" i="39"/>
  <c r="BE241" i="39"/>
  <c r="AW88" i="39"/>
  <c r="F88" i="39" s="1"/>
  <c r="BA88" i="39"/>
  <c r="H88" i="39" s="1"/>
  <c r="BH88" i="39" a="1"/>
  <c r="BH88" i="39" s="1"/>
  <c r="J88" i="39" s="1"/>
  <c r="BH93" i="39" a="1"/>
  <c r="BH93" i="39" s="1"/>
  <c r="J93" i="39" s="1"/>
  <c r="AW93" i="39"/>
  <c r="F93" i="39" s="1"/>
  <c r="BA93" i="39"/>
  <c r="H93" i="39" s="1"/>
  <c r="BA87" i="39"/>
  <c r="H87" i="39" s="1"/>
  <c r="BH87" i="39" a="1"/>
  <c r="BH87" i="39" s="1"/>
  <c r="J87" i="39" s="1"/>
  <c r="AW87" i="39"/>
  <c r="F87" i="39" s="1"/>
  <c r="BH91" i="39" a="1"/>
  <c r="BH91" i="39" s="1"/>
  <c r="J91" i="39" s="1"/>
  <c r="BA91" i="39"/>
  <c r="H91" i="39" s="1"/>
  <c r="AW91" i="39"/>
  <c r="F91" i="39" s="1"/>
  <c r="BA98" i="39"/>
  <c r="H98" i="39" s="1"/>
  <c r="BH98" i="39" a="1"/>
  <c r="BH98" i="39" s="1"/>
  <c r="J98" i="39" s="1"/>
  <c r="AW98" i="39"/>
  <c r="F98" i="39" s="1"/>
  <c r="BH92" i="39" a="1"/>
  <c r="BH92" i="39" s="1"/>
  <c r="J92" i="39" s="1"/>
  <c r="AW92" i="39"/>
  <c r="F92" i="39" s="1"/>
  <c r="BA92" i="39"/>
  <c r="H92" i="39" s="1"/>
  <c r="AW99" i="39"/>
  <c r="F99" i="39" s="1"/>
  <c r="BA99" i="39"/>
  <c r="H99" i="39" s="1"/>
  <c r="BH99" i="39" a="1"/>
  <c r="BH99" i="39" s="1"/>
  <c r="J99" i="39" s="1"/>
  <c r="AW95" i="39"/>
  <c r="F95" i="39" s="1"/>
  <c r="BA95" i="39"/>
  <c r="H95" i="39" s="1"/>
  <c r="BH95" i="39" a="1"/>
  <c r="BH95" i="39" s="1"/>
  <c r="J95" i="39" s="1"/>
  <c r="AW94" i="39"/>
  <c r="F94" i="39" s="1"/>
  <c r="BH94" i="39" a="1"/>
  <c r="BH94" i="39" s="1"/>
  <c r="J94" i="39" s="1"/>
  <c r="BA94" i="39"/>
  <c r="H94" i="39" s="1"/>
  <c r="BA84" i="39"/>
  <c r="H84" i="39" s="1"/>
  <c r="BH84" i="39" a="1"/>
  <c r="BH84" i="39" s="1"/>
  <c r="J84" i="39" s="1"/>
  <c r="AW84" i="39"/>
  <c r="F84" i="39" s="1"/>
  <c r="BH85" i="39" a="1"/>
  <c r="BH85" i="39" s="1"/>
  <c r="J85" i="39" s="1"/>
  <c r="AW85" i="39"/>
  <c r="F85" i="39" s="1"/>
  <c r="BA85" i="39"/>
  <c r="H85" i="39" s="1"/>
  <c r="BA97" i="39"/>
  <c r="H97" i="39" s="1"/>
  <c r="BH97" i="39" a="1"/>
  <c r="BH97" i="39" s="1"/>
  <c r="J97" i="39" s="1"/>
  <c r="AW97" i="39"/>
  <c r="F97" i="39" s="1"/>
  <c r="BA83" i="39"/>
  <c r="H83" i="39" s="1"/>
  <c r="BH83" i="39" a="1"/>
  <c r="BH83" i="39" s="1"/>
  <c r="AW83" i="39"/>
  <c r="F83" i="39" s="1"/>
  <c r="BA90" i="39"/>
  <c r="H90" i="39" s="1"/>
  <c r="BH90" i="39" a="1"/>
  <c r="BH90" i="39" s="1"/>
  <c r="J90" i="39" s="1"/>
  <c r="AW90" i="39"/>
  <c r="F90" i="39" s="1"/>
  <c r="BH89" i="39" a="1"/>
  <c r="BH89" i="39" s="1"/>
  <c r="J89" i="39" s="1"/>
  <c r="AW89" i="39"/>
  <c r="F89" i="39" s="1"/>
  <c r="BA89" i="39"/>
  <c r="H89" i="39" s="1"/>
  <c r="Y14" i="89" a="1"/>
  <c r="Y14" i="89" s="1"/>
  <c r="Y15" i="89" a="1"/>
  <c r="Y15" i="89" s="1"/>
  <c r="BA96" i="39"/>
  <c r="H96" i="39" s="1"/>
  <c r="BH96" i="39" a="1"/>
  <c r="BH96" i="39" s="1"/>
  <c r="J96" i="39" s="1"/>
  <c r="AW96" i="39"/>
  <c r="F96" i="39" s="1"/>
  <c r="BA100" i="39"/>
  <c r="H100" i="39" s="1"/>
  <c r="BH100" i="39" a="1"/>
  <c r="BH100" i="39" s="1"/>
  <c r="J100" i="39" s="1"/>
  <c r="AW100" i="39"/>
  <c r="F100" i="39" s="1"/>
  <c r="BA86" i="39"/>
  <c r="H86" i="39" s="1"/>
  <c r="BH86" i="39" a="1"/>
  <c r="BH86" i="39" s="1"/>
  <c r="J86" i="39" s="1"/>
  <c r="AW86" i="39"/>
  <c r="F86" i="39" s="1"/>
  <c r="BE80" i="39"/>
  <c r="BE69" i="39"/>
  <c r="BE81" i="39"/>
  <c r="G16" i="55"/>
  <c r="I16" i="55" s="1"/>
  <c r="K16" i="55" s="1"/>
  <c r="BE79" i="39"/>
  <c r="BE70" i="39"/>
  <c r="BE71" i="39"/>
  <c r="BE77" i="39"/>
  <c r="BE73" i="39"/>
  <c r="BE75" i="39"/>
  <c r="BE74" i="39"/>
  <c r="BE76" i="39"/>
  <c r="BE67" i="39"/>
  <c r="Y67" i="39" s="1"/>
  <c r="BE68" i="39"/>
  <c r="L23" i="6"/>
  <c r="D16" i="55" s="1"/>
  <c r="BE72" i="39"/>
  <c r="BE78" i="39"/>
  <c r="BE140" i="39"/>
  <c r="BE136" i="39"/>
  <c r="Y136" i="39" s="1"/>
  <c r="BE142" i="39"/>
  <c r="BE137" i="39"/>
  <c r="BE138" i="39"/>
  <c r="G23" i="55"/>
  <c r="I23" i="55" s="1"/>
  <c r="K23" i="55" s="1"/>
  <c r="L30" i="6"/>
  <c r="D23" i="55" s="1"/>
  <c r="BE141" i="39"/>
  <c r="BE143" i="39"/>
  <c r="BE144" i="39"/>
  <c r="BE139" i="39"/>
  <c r="M15" i="89" a="1"/>
  <c r="M15" i="89" s="1"/>
  <c r="M14" i="89" a="1"/>
  <c r="M14" i="89" s="1"/>
  <c r="X15" i="89" a="1"/>
  <c r="X15" i="89" s="1"/>
  <c r="X14" i="89" a="1"/>
  <c r="X14" i="89" s="1"/>
  <c r="AB14" i="89" a="1"/>
  <c r="AB14" i="89" s="1"/>
  <c r="AB15" i="89" a="1"/>
  <c r="AB15" i="89" s="1"/>
  <c r="G34" i="55"/>
  <c r="I34" i="55" s="1"/>
  <c r="K34" i="55" s="1"/>
  <c r="BE259" i="39"/>
  <c r="BE257" i="39"/>
  <c r="Y257" i="39" s="1"/>
  <c r="BE270" i="39"/>
  <c r="BE262" i="39"/>
  <c r="L41" i="6"/>
  <c r="D34" i="55" s="1"/>
  <c r="BE258" i="39"/>
  <c r="BE263" i="39"/>
  <c r="BE260" i="39"/>
  <c r="BE267" i="39"/>
  <c r="BE269" i="39"/>
  <c r="BE271" i="39"/>
  <c r="BE268" i="39"/>
  <c r="BE261" i="39"/>
  <c r="G20" i="55"/>
  <c r="I20" i="55" s="1"/>
  <c r="K20" i="55" s="1"/>
  <c r="BE113" i="39"/>
  <c r="Y113" i="39" s="1"/>
  <c r="BE119" i="39"/>
  <c r="BE118" i="39"/>
  <c r="BE114" i="39"/>
  <c r="L27" i="6"/>
  <c r="D20" i="55" s="1"/>
  <c r="BE116" i="39"/>
  <c r="BE117" i="39"/>
  <c r="BE115" i="39"/>
  <c r="BH124" i="39" a="1"/>
  <c r="BH124" i="39" s="1"/>
  <c r="J124" i="39" s="1"/>
  <c r="AW124" i="39"/>
  <c r="F124" i="39" s="1"/>
  <c r="BA124" i="39"/>
  <c r="H124" i="39" s="1"/>
  <c r="BA123" i="39"/>
  <c r="H123" i="39" s="1"/>
  <c r="BH123" i="39" a="1"/>
  <c r="BH123" i="39" s="1"/>
  <c r="J123" i="39" s="1"/>
  <c r="AW123" i="39"/>
  <c r="F123" i="39" s="1"/>
  <c r="BH299" i="39" a="1"/>
  <c r="BH299" i="39" s="1"/>
  <c r="J299" i="39" s="1"/>
  <c r="AW299" i="39"/>
  <c r="F299" i="39" s="1"/>
  <c r="BA299" i="39"/>
  <c r="H299" i="39" s="1"/>
  <c r="BH121" i="39" a="1"/>
  <c r="BH121" i="39" s="1"/>
  <c r="BA121" i="39"/>
  <c r="H121" i="39" s="1"/>
  <c r="AW121" i="39"/>
  <c r="F121" i="39" s="1"/>
  <c r="AW126" i="39"/>
  <c r="F126" i="39" s="1"/>
  <c r="BA126" i="39"/>
  <c r="H126" i="39" s="1"/>
  <c r="BH126" i="39" a="1"/>
  <c r="BH126" i="39" s="1"/>
  <c r="J126" i="39" s="1"/>
  <c r="BH298" i="39" a="1"/>
  <c r="BH298" i="39" s="1"/>
  <c r="AW298" i="39"/>
  <c r="F298" i="39" s="1"/>
  <c r="BA298" i="39"/>
  <c r="H298" i="39" s="1"/>
  <c r="BH125" i="39" a="1"/>
  <c r="BH125" i="39" s="1"/>
  <c r="J125" i="39" s="1"/>
  <c r="AW125" i="39"/>
  <c r="F125" i="39" s="1"/>
  <c r="BA125" i="39"/>
  <c r="H125" i="39" s="1"/>
  <c r="BA303" i="39"/>
  <c r="H303" i="39" s="1"/>
  <c r="BA122" i="39"/>
  <c r="H122" i="39" s="1"/>
  <c r="BH122" i="39" a="1"/>
  <c r="BH122" i="39" s="1"/>
  <c r="J122" i="39" s="1"/>
  <c r="AW122" i="39"/>
  <c r="F122" i="39" s="1"/>
  <c r="AW300" i="39"/>
  <c r="F300" i="39" s="1"/>
  <c r="BA300" i="39"/>
  <c r="H300" i="39" s="1"/>
  <c r="BH300" i="39" a="1"/>
  <c r="BH300" i="39" s="1"/>
  <c r="J300" i="39" s="1"/>
  <c r="BH302" i="39" a="1"/>
  <c r="BH302" i="39" s="1"/>
  <c r="J302" i="39" s="1"/>
  <c r="AW302" i="39"/>
  <c r="F302" i="39" s="1"/>
  <c r="BA302" i="39"/>
  <c r="H302" i="39" s="1"/>
  <c r="BA215" i="39"/>
  <c r="H215" i="39" s="1"/>
  <c r="BH215" i="39" a="1"/>
  <c r="BH215" i="39" s="1"/>
  <c r="J215" i="39" s="1"/>
  <c r="AW215" i="39"/>
  <c r="F215" i="39" s="1"/>
  <c r="BH220" i="39" a="1"/>
  <c r="BH220" i="39" s="1"/>
  <c r="J220" i="39" s="1"/>
  <c r="AW220" i="39"/>
  <c r="F220" i="39" s="1"/>
  <c r="BA220" i="39"/>
  <c r="H220" i="39" s="1"/>
  <c r="AW217" i="39"/>
  <c r="F217" i="39" s="1"/>
  <c r="BA217" i="39"/>
  <c r="H217" i="39" s="1"/>
  <c r="BH217" i="39" a="1"/>
  <c r="BH217" i="39" s="1"/>
  <c r="J217" i="39" s="1"/>
  <c r="AW219" i="39"/>
  <c r="F219" i="39" s="1"/>
  <c r="BA219" i="39"/>
  <c r="H219" i="39" s="1"/>
  <c r="BH219" i="39" a="1"/>
  <c r="BH219" i="39" s="1"/>
  <c r="J219" i="39" s="1"/>
  <c r="BA214" i="39"/>
  <c r="H214" i="39" s="1"/>
  <c r="BH214" i="39" a="1"/>
  <c r="BH214" i="39" s="1"/>
  <c r="J214" i="39" s="1"/>
  <c r="AW214" i="39"/>
  <c r="F214" i="39" s="1"/>
  <c r="BH223" i="39" a="1"/>
  <c r="BH223" i="39" s="1"/>
  <c r="J223" i="39" s="1"/>
  <c r="AW223" i="39"/>
  <c r="F223" i="39" s="1"/>
  <c r="BA223" i="39"/>
  <c r="H223" i="39" s="1"/>
  <c r="AW224" i="39"/>
  <c r="F224" i="39" s="1"/>
  <c r="BA224" i="39"/>
  <c r="H224" i="39" s="1"/>
  <c r="BH224" i="39" a="1"/>
  <c r="BH224" i="39" s="1"/>
  <c r="J224" i="39" s="1"/>
  <c r="AW211" i="39"/>
  <c r="F211" i="39" s="1"/>
  <c r="BA211" i="39"/>
  <c r="H211" i="39" s="1"/>
  <c r="BH211" i="39" a="1"/>
  <c r="BH211" i="39" s="1"/>
  <c r="BH216" i="39" a="1"/>
  <c r="BH216" i="39" s="1"/>
  <c r="J216" i="39" s="1"/>
  <c r="AW216" i="39"/>
  <c r="F216" i="39" s="1"/>
  <c r="BA216" i="39"/>
  <c r="H216" i="39" s="1"/>
  <c r="BA226" i="39"/>
  <c r="H226" i="39" s="1"/>
  <c r="BH226" i="39" a="1"/>
  <c r="BH226" i="39" s="1"/>
  <c r="J226" i="39" s="1"/>
  <c r="AW226" i="39"/>
  <c r="F226" i="39" s="1"/>
  <c r="BA213" i="39"/>
  <c r="H213" i="39" s="1"/>
  <c r="BH213" i="39" a="1"/>
  <c r="BH213" i="39" s="1"/>
  <c r="J213" i="39" s="1"/>
  <c r="AW213" i="39"/>
  <c r="F213" i="39" s="1"/>
  <c r="BA218" i="39"/>
  <c r="H218" i="39" s="1"/>
  <c r="BH218" i="39" a="1"/>
  <c r="BH218" i="39" s="1"/>
  <c r="J218" i="39" s="1"/>
  <c r="AW218" i="39"/>
  <c r="F218" i="39" s="1"/>
  <c r="AW225" i="39"/>
  <c r="F225" i="39" s="1"/>
  <c r="BA225" i="39"/>
  <c r="H225" i="39" s="1"/>
  <c r="BH225" i="39" a="1"/>
  <c r="BH225" i="39" s="1"/>
  <c r="J225" i="39" s="1"/>
  <c r="AW221" i="39"/>
  <c r="F221" i="39" s="1"/>
  <c r="BA221" i="39"/>
  <c r="H221" i="39" s="1"/>
  <c r="BH221" i="39" a="1"/>
  <c r="BH221" i="39" s="1"/>
  <c r="J221" i="39" s="1"/>
  <c r="BH222" i="39" a="1"/>
  <c r="BH222" i="39" s="1"/>
  <c r="J222" i="39" s="1"/>
  <c r="AW222" i="39"/>
  <c r="F222" i="39" s="1"/>
  <c r="BA222" i="39"/>
  <c r="H222" i="39" s="1"/>
  <c r="AW212" i="39"/>
  <c r="F212" i="39" s="1"/>
  <c r="BA212" i="39"/>
  <c r="H212" i="39" s="1"/>
  <c r="BH212" i="39" a="1"/>
  <c r="BH212" i="39" s="1"/>
  <c r="J212" i="39" s="1"/>
  <c r="BA324" i="39"/>
  <c r="H324" i="39" s="1"/>
  <c r="AW324" i="39"/>
  <c r="F324" i="39" s="1"/>
  <c r="BH324" i="39" a="1"/>
  <c r="BH324" i="39" s="1"/>
  <c r="J324" i="39" s="1"/>
  <c r="BA314" i="39"/>
  <c r="H314" i="39" s="1"/>
  <c r="BH314" i="39" a="1"/>
  <c r="BH314" i="39" s="1"/>
  <c r="J314" i="39" s="1"/>
  <c r="AW314" i="39"/>
  <c r="F314" i="39" s="1"/>
  <c r="AW320" i="39"/>
  <c r="F320" i="39" s="1"/>
  <c r="BA320" i="39"/>
  <c r="H320" i="39" s="1"/>
  <c r="BH320" i="39" a="1"/>
  <c r="BH320" i="39" s="1"/>
  <c r="J320" i="39" s="1"/>
  <c r="AW317" i="39"/>
  <c r="F317" i="39" s="1"/>
  <c r="BH317" i="39" a="1"/>
  <c r="BH317" i="39" s="1"/>
  <c r="J317" i="39" s="1"/>
  <c r="BA317" i="39"/>
  <c r="H317" i="39" s="1"/>
  <c r="BA207" i="39"/>
  <c r="H207" i="39" s="1"/>
  <c r="BH207" i="39" a="1"/>
  <c r="BH207" i="39" s="1"/>
  <c r="AW207" i="39"/>
  <c r="F207" i="39" s="1"/>
  <c r="BA252" i="39"/>
  <c r="H252" i="39" s="1"/>
  <c r="BH252" i="39" a="1"/>
  <c r="BH252" i="39" s="1"/>
  <c r="J252" i="39" s="1"/>
  <c r="AW252" i="39"/>
  <c r="F252" i="39" s="1"/>
  <c r="BH106" i="39" a="1"/>
  <c r="BH106" i="39" s="1"/>
  <c r="J106" i="39" s="1"/>
  <c r="AW106" i="39"/>
  <c r="F106" i="39" s="1"/>
  <c r="BA106" i="39"/>
  <c r="H106" i="39" s="1"/>
  <c r="BH107" i="39" a="1"/>
  <c r="BH107" i="39" s="1"/>
  <c r="J107" i="39" s="1"/>
  <c r="AW107" i="39"/>
  <c r="F107" i="39" s="1"/>
  <c r="BA107" i="39"/>
  <c r="H107" i="39" s="1"/>
  <c r="AW154" i="39"/>
  <c r="F154" i="39" s="1"/>
  <c r="BH154" i="39" a="1"/>
  <c r="BH154" i="39" s="1"/>
  <c r="J154" i="39" s="1"/>
  <c r="BA154" i="39"/>
  <c r="H154" i="39" s="1"/>
  <c r="BA149" i="39"/>
  <c r="H149" i="39" s="1"/>
  <c r="BH149" i="39" a="1"/>
  <c r="BH149" i="39" s="1"/>
  <c r="J149" i="39" s="1"/>
  <c r="AW149" i="39"/>
  <c r="F149" i="39" s="1"/>
  <c r="BH150" i="39" a="1"/>
  <c r="BH150" i="39" s="1"/>
  <c r="J150" i="39" s="1"/>
  <c r="AW150" i="39"/>
  <c r="F150" i="39" s="1"/>
  <c r="BA150" i="39"/>
  <c r="H150" i="39" s="1"/>
  <c r="BH148" i="39" a="1"/>
  <c r="BH148" i="39" s="1"/>
  <c r="J148" i="39" s="1"/>
  <c r="AW148" i="39"/>
  <c r="F148" i="39" s="1"/>
  <c r="BA148" i="39"/>
  <c r="H148" i="39" s="1"/>
  <c r="AW181" i="39"/>
  <c r="F181" i="39" s="1"/>
  <c r="BH181" i="39" a="1"/>
  <c r="BH181" i="39" s="1"/>
  <c r="J181" i="39" s="1"/>
  <c r="BA181" i="39"/>
  <c r="H181" i="39" s="1"/>
  <c r="AW188" i="39"/>
  <c r="F188" i="39" s="1"/>
  <c r="BH188" i="39" a="1"/>
  <c r="BH188" i="39" s="1"/>
  <c r="J188" i="39" s="1"/>
  <c r="BA188" i="39"/>
  <c r="H188" i="39" s="1"/>
  <c r="BA192" i="39"/>
  <c r="H192" i="39" s="1"/>
  <c r="BH192" i="39" a="1"/>
  <c r="BH192" i="39" s="1"/>
  <c r="J192" i="39" s="1"/>
  <c r="AW192" i="39"/>
  <c r="F192" i="39" s="1"/>
  <c r="BH186" i="39" a="1"/>
  <c r="BH186" i="39" s="1"/>
  <c r="J186" i="39" s="1"/>
  <c r="AW186" i="39"/>
  <c r="F186" i="39" s="1"/>
  <c r="BA186" i="39"/>
  <c r="H186" i="39" s="1"/>
  <c r="BA190" i="39"/>
  <c r="H190" i="39" s="1"/>
  <c r="AW190" i="39"/>
  <c r="F190" i="39" s="1"/>
  <c r="BH190" i="39" a="1"/>
  <c r="BH190" i="39" s="1"/>
  <c r="J190" i="39" s="1"/>
  <c r="AW205" i="39"/>
  <c r="F205" i="39" s="1"/>
  <c r="BA205" i="39"/>
  <c r="H205" i="39" s="1"/>
  <c r="BH205" i="39" a="1"/>
  <c r="BH205" i="39" s="1"/>
  <c r="J205" i="39" s="1"/>
  <c r="BH202" i="39" a="1"/>
  <c r="BH202" i="39" s="1"/>
  <c r="J202" i="39" s="1"/>
  <c r="AW202" i="39"/>
  <c r="F202" i="39" s="1"/>
  <c r="BA202" i="39"/>
  <c r="H202" i="39" s="1"/>
  <c r="BH199" i="39" a="1"/>
  <c r="BH199" i="39" s="1"/>
  <c r="J199" i="39" s="1"/>
  <c r="AW199" i="39"/>
  <c r="F199" i="39" s="1"/>
  <c r="BA199" i="39"/>
  <c r="H199" i="39" s="1"/>
  <c r="BE329" i="39"/>
  <c r="BE334" i="39"/>
  <c r="BE340" i="39"/>
  <c r="BE328" i="39"/>
  <c r="BE335" i="39"/>
  <c r="L49" i="6"/>
  <c r="D42" i="55" s="1"/>
  <c r="BE327" i="39"/>
  <c r="Y327" i="39" s="1"/>
  <c r="BE331" i="39"/>
  <c r="BE336" i="39"/>
  <c r="G42" i="55"/>
  <c r="I42" i="55" s="1"/>
  <c r="BE338" i="39"/>
  <c r="BE330" i="39"/>
  <c r="BE332" i="39"/>
  <c r="BE337" i="39"/>
  <c r="BE339" i="39"/>
  <c r="BE333" i="39"/>
  <c r="AW318" i="39"/>
  <c r="F318" i="39" s="1"/>
  <c r="BH318" i="39" a="1"/>
  <c r="BH318" i="39" s="1"/>
  <c r="J318" i="39" s="1"/>
  <c r="BA318" i="39"/>
  <c r="H318" i="39" s="1"/>
  <c r="BA325" i="39"/>
  <c r="H325" i="39" s="1"/>
  <c r="AW325" i="39"/>
  <c r="F325" i="39" s="1"/>
  <c r="BH325" i="39" a="1"/>
  <c r="BH325" i="39" s="1"/>
  <c r="J325" i="39" s="1"/>
  <c r="BH319" i="39" a="1"/>
  <c r="BH319" i="39" s="1"/>
  <c r="J319" i="39" s="1"/>
  <c r="BA319" i="39"/>
  <c r="H319" i="39" s="1"/>
  <c r="AW319" i="39"/>
  <c r="F319" i="39" s="1"/>
  <c r="AW321" i="39"/>
  <c r="F321" i="39" s="1"/>
  <c r="BH321" i="39" a="1"/>
  <c r="BH321" i="39" s="1"/>
  <c r="J321" i="39" s="1"/>
  <c r="BA321" i="39"/>
  <c r="H321" i="39" s="1"/>
  <c r="BA315" i="39"/>
  <c r="H315" i="39" s="1"/>
  <c r="BH315" i="39" a="1"/>
  <c r="BH315" i="39" s="1"/>
  <c r="J315" i="39" s="1"/>
  <c r="AW315" i="39"/>
  <c r="F315" i="39" s="1"/>
  <c r="BA208" i="39"/>
  <c r="H208" i="39" s="1"/>
  <c r="BH208" i="39" a="1"/>
  <c r="BH208" i="39" s="1"/>
  <c r="J208" i="39" s="1"/>
  <c r="AW208" i="39"/>
  <c r="F208" i="39" s="1"/>
  <c r="BH249" i="39" a="1"/>
  <c r="BH249" i="39" s="1"/>
  <c r="AW249" i="39"/>
  <c r="F249" i="39" s="1"/>
  <c r="BA249" i="39"/>
  <c r="H249" i="39" s="1"/>
  <c r="BA286" i="39"/>
  <c r="H286" i="39" s="1"/>
  <c r="BH286" i="39" a="1"/>
  <c r="BH286" i="39" s="1"/>
  <c r="J286" i="39" s="1"/>
  <c r="AW286" i="39"/>
  <c r="F286" i="39" s="1"/>
  <c r="AW129" i="39"/>
  <c r="F129" i="39" s="1"/>
  <c r="BH110" i="39" a="1"/>
  <c r="BH110" i="39" s="1"/>
  <c r="J110" i="39" s="1"/>
  <c r="AW110" i="39"/>
  <c r="F110" i="39" s="1"/>
  <c r="BA110" i="39"/>
  <c r="H110" i="39" s="1"/>
  <c r="AW109" i="39"/>
  <c r="F109" i="39" s="1"/>
  <c r="BA109" i="39"/>
  <c r="H109" i="39" s="1"/>
  <c r="BH109" i="39" a="1"/>
  <c r="BH109" i="39" s="1"/>
  <c r="J109" i="39" s="1"/>
  <c r="BA152" i="39"/>
  <c r="H152" i="39" s="1"/>
  <c r="BH152" i="39" a="1"/>
  <c r="BH152" i="39" s="1"/>
  <c r="J152" i="39" s="1"/>
  <c r="AW152" i="39"/>
  <c r="F152" i="39" s="1"/>
  <c r="AW153" i="39"/>
  <c r="F153" i="39" s="1"/>
  <c r="BA153" i="39"/>
  <c r="H153" i="39" s="1"/>
  <c r="BH153" i="39" a="1"/>
  <c r="BH153" i="39" s="1"/>
  <c r="J153" i="39" s="1"/>
  <c r="BA195" i="39"/>
  <c r="H195" i="39" s="1"/>
  <c r="BH195" i="39" a="1"/>
  <c r="BH195" i="39" s="1"/>
  <c r="J195" i="39" s="1"/>
  <c r="AW195" i="39"/>
  <c r="F195" i="39" s="1"/>
  <c r="BH184" i="39" a="1"/>
  <c r="BH184" i="39" s="1"/>
  <c r="J184" i="39" s="1"/>
  <c r="AW184" i="39"/>
  <c r="F184" i="39" s="1"/>
  <c r="BA184" i="39"/>
  <c r="H184" i="39" s="1"/>
  <c r="AW196" i="39"/>
  <c r="F196" i="39" s="1"/>
  <c r="BA196" i="39"/>
  <c r="H196" i="39" s="1"/>
  <c r="BH196" i="39" a="1"/>
  <c r="BH196" i="39" s="1"/>
  <c r="J196" i="39" s="1"/>
  <c r="AW200" i="39"/>
  <c r="F200" i="39" s="1"/>
  <c r="BH200" i="39" a="1"/>
  <c r="BH200" i="39" s="1"/>
  <c r="J200" i="39" s="1"/>
  <c r="BA200" i="39"/>
  <c r="H200" i="39" s="1"/>
  <c r="BH204" i="39" a="1"/>
  <c r="BH204" i="39" s="1"/>
  <c r="J204" i="39" s="1"/>
  <c r="AW204" i="39"/>
  <c r="F204" i="39" s="1"/>
  <c r="BA204" i="39"/>
  <c r="H204" i="39" s="1"/>
  <c r="AW197" i="39"/>
  <c r="F197" i="39" s="1"/>
  <c r="BA197" i="39"/>
  <c r="H197" i="39" s="1"/>
  <c r="BH197" i="39" a="1"/>
  <c r="BH197" i="39" s="1"/>
  <c r="J197" i="39" s="1"/>
  <c r="BA187" i="39"/>
  <c r="H187" i="39" s="1"/>
  <c r="AW187" i="39"/>
  <c r="F187" i="39" s="1"/>
  <c r="BH187" i="39" a="1"/>
  <c r="BH187" i="39" s="1"/>
  <c r="J187" i="39" s="1"/>
  <c r="BA322" i="39"/>
  <c r="H322" i="39" s="1"/>
  <c r="BH322" i="39" a="1"/>
  <c r="BH322" i="39" s="1"/>
  <c r="J322" i="39" s="1"/>
  <c r="AW322" i="39"/>
  <c r="F322" i="39" s="1"/>
  <c r="BA326" i="39"/>
  <c r="H326" i="39" s="1"/>
  <c r="AW326" i="39"/>
  <c r="F326" i="39" s="1"/>
  <c r="BH326" i="39" a="1"/>
  <c r="BH326" i="39" s="1"/>
  <c r="J326" i="39" s="1"/>
  <c r="AW311" i="39"/>
  <c r="F311" i="39" s="1"/>
  <c r="BA311" i="39"/>
  <c r="H311" i="39" s="1"/>
  <c r="BH311" i="39" a="1"/>
  <c r="BH311" i="39" s="1"/>
  <c r="J311" i="39" s="1"/>
  <c r="BH312" i="39" a="1"/>
  <c r="BH312" i="39" s="1"/>
  <c r="J312" i="39" s="1"/>
  <c r="AW312" i="39"/>
  <c r="F312" i="39" s="1"/>
  <c r="BA312" i="39"/>
  <c r="H312" i="39" s="1"/>
  <c r="BH209" i="39" a="1"/>
  <c r="BH209" i="39" s="1"/>
  <c r="J209" i="39" s="1"/>
  <c r="AW209" i="39"/>
  <c r="F209" i="39" s="1"/>
  <c r="BA209" i="39"/>
  <c r="H209" i="39" s="1"/>
  <c r="BH251" i="39" a="1"/>
  <c r="BH251" i="39" s="1"/>
  <c r="J251" i="39" s="1"/>
  <c r="BA251" i="39"/>
  <c r="H251" i="39" s="1"/>
  <c r="AW251" i="39"/>
  <c r="F251" i="39" s="1"/>
  <c r="BA289" i="39"/>
  <c r="H289" i="39" s="1"/>
  <c r="BH289" i="39" a="1"/>
  <c r="BH289" i="39" s="1"/>
  <c r="J289" i="39" s="1"/>
  <c r="AW289" i="39"/>
  <c r="F289" i="39" s="1"/>
  <c r="AW288" i="39"/>
  <c r="F288" i="39" s="1"/>
  <c r="BH288" i="39" a="1"/>
  <c r="BH288" i="39" s="1"/>
  <c r="J288" i="39" s="1"/>
  <c r="BA288" i="39"/>
  <c r="H288" i="39" s="1"/>
  <c r="AW128" i="39"/>
  <c r="F128" i="39" s="1"/>
  <c r="BA128" i="39"/>
  <c r="H128" i="39" s="1"/>
  <c r="BH128" i="39" a="1"/>
  <c r="BH128" i="39" s="1"/>
  <c r="AW134" i="39"/>
  <c r="F134" i="39" s="1"/>
  <c r="BH134" i="39" a="1"/>
  <c r="BH134" i="39" s="1"/>
  <c r="J134" i="39" s="1"/>
  <c r="BA134" i="39"/>
  <c r="H134" i="39" s="1"/>
  <c r="AW108" i="39"/>
  <c r="F108" i="39" s="1"/>
  <c r="BH108" i="39" a="1"/>
  <c r="BH108" i="39" s="1"/>
  <c r="J108" i="39" s="1"/>
  <c r="BA108" i="39"/>
  <c r="H108" i="39" s="1"/>
  <c r="AW111" i="39"/>
  <c r="F111" i="39" s="1"/>
  <c r="BA111" i="39"/>
  <c r="H111" i="39" s="1"/>
  <c r="BH111" i="39" a="1"/>
  <c r="BH111" i="39" s="1"/>
  <c r="J111" i="39" s="1"/>
  <c r="BH151" i="39" a="1"/>
  <c r="BH151" i="39" s="1"/>
  <c r="J151" i="39" s="1"/>
  <c r="BA151" i="39"/>
  <c r="H151" i="39" s="1"/>
  <c r="AW151" i="39"/>
  <c r="F151" i="39" s="1"/>
  <c r="AW155" i="39"/>
  <c r="F155" i="39" s="1"/>
  <c r="BH155" i="39" a="1"/>
  <c r="BH155" i="39" s="1"/>
  <c r="J155" i="39" s="1"/>
  <c r="BA155" i="39"/>
  <c r="H155" i="39" s="1"/>
  <c r="BA156" i="39"/>
  <c r="H156" i="39" s="1"/>
  <c r="BH156" i="39" a="1"/>
  <c r="BH156" i="39" s="1"/>
  <c r="J156" i="39" s="1"/>
  <c r="AW156" i="39"/>
  <c r="F156" i="39" s="1"/>
  <c r="BA201" i="39"/>
  <c r="H201" i="39" s="1"/>
  <c r="AW201" i="39"/>
  <c r="F201" i="39" s="1"/>
  <c r="BH201" i="39" a="1"/>
  <c r="BH201" i="39" s="1"/>
  <c r="J201" i="39" s="1"/>
  <c r="AW179" i="39"/>
  <c r="F179" i="39" s="1"/>
  <c r="BA179" i="39"/>
  <c r="H179" i="39" s="1"/>
  <c r="BH179" i="39" a="1"/>
  <c r="BH179" i="39" s="1"/>
  <c r="J179" i="39" s="1"/>
  <c r="BA193" i="39"/>
  <c r="H193" i="39" s="1"/>
  <c r="BH193" i="39" a="1"/>
  <c r="BH193" i="39" s="1"/>
  <c r="J193" i="39" s="1"/>
  <c r="AW193" i="39"/>
  <c r="F193" i="39" s="1"/>
  <c r="AW203" i="39"/>
  <c r="F203" i="39" s="1"/>
  <c r="BH203" i="39" a="1"/>
  <c r="BH203" i="39" s="1"/>
  <c r="J203" i="39" s="1"/>
  <c r="BA203" i="39"/>
  <c r="H203" i="39" s="1"/>
  <c r="AW183" i="39"/>
  <c r="F183" i="39" s="1"/>
  <c r="BA183" i="39"/>
  <c r="H183" i="39" s="1"/>
  <c r="BH183" i="39" a="1"/>
  <c r="BH183" i="39" s="1"/>
  <c r="J183" i="39" s="1"/>
  <c r="BH180" i="39" a="1"/>
  <c r="BH180" i="39" s="1"/>
  <c r="J180" i="39" s="1"/>
  <c r="AW180" i="39"/>
  <c r="F180" i="39" s="1"/>
  <c r="BA180" i="39"/>
  <c r="H180" i="39" s="1"/>
  <c r="BH189" i="39" a="1"/>
  <c r="BH189" i="39" s="1"/>
  <c r="J189" i="39" s="1"/>
  <c r="AW189" i="39"/>
  <c r="F189" i="39" s="1"/>
  <c r="BA189" i="39"/>
  <c r="H189" i="39" s="1"/>
  <c r="BA310" i="39"/>
  <c r="H310" i="39" s="1"/>
  <c r="BH310" i="39" a="1"/>
  <c r="BH310" i="39" s="1"/>
  <c r="AW310" i="39"/>
  <c r="F310" i="39" s="1"/>
  <c r="AW323" i="39"/>
  <c r="F323" i="39" s="1"/>
  <c r="BH323" i="39" a="1"/>
  <c r="BH323" i="39" s="1"/>
  <c r="J323" i="39" s="1"/>
  <c r="BA323" i="39"/>
  <c r="H323" i="39" s="1"/>
  <c r="AW316" i="39"/>
  <c r="F316" i="39" s="1"/>
  <c r="BA316" i="39"/>
  <c r="H316" i="39" s="1"/>
  <c r="BH316" i="39" a="1"/>
  <c r="BH316" i="39" s="1"/>
  <c r="J316" i="39" s="1"/>
  <c r="BH313" i="39" a="1"/>
  <c r="BH313" i="39" s="1"/>
  <c r="J313" i="39" s="1"/>
  <c r="AW313" i="39"/>
  <c r="F313" i="39" s="1"/>
  <c r="BA313" i="39"/>
  <c r="H313" i="39" s="1"/>
  <c r="BA250" i="39"/>
  <c r="H250" i="39" s="1"/>
  <c r="AW250" i="39"/>
  <c r="F250" i="39" s="1"/>
  <c r="BH250" i="39" a="1"/>
  <c r="BH250" i="39" s="1"/>
  <c r="J250" i="39" s="1"/>
  <c r="BH287" i="39" a="1"/>
  <c r="BH287" i="39" s="1"/>
  <c r="J287" i="39" s="1"/>
  <c r="AW287" i="39"/>
  <c r="F287" i="39" s="1"/>
  <c r="BA287" i="39"/>
  <c r="H287" i="39" s="1"/>
  <c r="AW285" i="39"/>
  <c r="F285" i="39" s="1"/>
  <c r="BH285" i="39" a="1"/>
  <c r="BH285" i="39" s="1"/>
  <c r="BA285" i="39"/>
  <c r="H285" i="39" s="1"/>
  <c r="BA130" i="39"/>
  <c r="H130" i="39" s="1"/>
  <c r="AW132" i="39"/>
  <c r="F132" i="39" s="1"/>
  <c r="BA132" i="39"/>
  <c r="H132" i="39" s="1"/>
  <c r="BH132" i="39" a="1"/>
  <c r="BH132" i="39" s="1"/>
  <c r="J132" i="39" s="1"/>
  <c r="BH131" i="39" a="1"/>
  <c r="BH131" i="39" s="1"/>
  <c r="J131" i="39" s="1"/>
  <c r="BH105" i="39" a="1"/>
  <c r="BH105" i="39" s="1"/>
  <c r="AW105" i="39"/>
  <c r="F105" i="39" s="1"/>
  <c r="BA105" i="39"/>
  <c r="H105" i="39" s="1"/>
  <c r="AW112" i="39"/>
  <c r="F112" i="39" s="1"/>
  <c r="BA112" i="39"/>
  <c r="H112" i="39" s="1"/>
  <c r="BH112" i="39" a="1"/>
  <c r="BH112" i="39" s="1"/>
  <c r="J112" i="39" s="1"/>
  <c r="AW147" i="39"/>
  <c r="F147" i="39" s="1"/>
  <c r="BA147" i="39"/>
  <c r="H147" i="39" s="1"/>
  <c r="BH147" i="39" a="1"/>
  <c r="BH147" i="39" s="1"/>
  <c r="J147" i="39" s="1"/>
  <c r="AW146" i="39"/>
  <c r="F146" i="39" s="1"/>
  <c r="BH146" i="39" a="1"/>
  <c r="BH146" i="39" s="1"/>
  <c r="BA146" i="39"/>
  <c r="H146" i="39" s="1"/>
  <c r="BA185" i="39"/>
  <c r="H185" i="39" s="1"/>
  <c r="AW185" i="39"/>
  <c r="F185" i="39" s="1"/>
  <c r="BH185" i="39" a="1"/>
  <c r="BH185" i="39" s="1"/>
  <c r="J185" i="39" s="1"/>
  <c r="BA191" i="39"/>
  <c r="H191" i="39" s="1"/>
  <c r="AW191" i="39"/>
  <c r="F191" i="39" s="1"/>
  <c r="BH191" i="39" a="1"/>
  <c r="BH191" i="39" s="1"/>
  <c r="J191" i="39" s="1"/>
  <c r="BA198" i="39"/>
  <c r="H198" i="39" s="1"/>
  <c r="AW198" i="39"/>
  <c r="F198" i="39" s="1"/>
  <c r="BH198" i="39" a="1"/>
  <c r="BH198" i="39" s="1"/>
  <c r="J198" i="39" s="1"/>
  <c r="AW194" i="39"/>
  <c r="F194" i="39" s="1"/>
  <c r="BH194" i="39" a="1"/>
  <c r="BH194" i="39" s="1"/>
  <c r="J194" i="39" s="1"/>
  <c r="BA194" i="39"/>
  <c r="H194" i="39" s="1"/>
  <c r="BA182" i="39"/>
  <c r="H182" i="39" s="1"/>
  <c r="BH182" i="39" a="1"/>
  <c r="BH182" i="39" s="1"/>
  <c r="J182" i="39" s="1"/>
  <c r="AW182" i="39"/>
  <c r="F182" i="39" s="1"/>
  <c r="BA178" i="39"/>
  <c r="H178" i="39" s="1"/>
  <c r="BH178" i="39" a="1"/>
  <c r="BH178" i="39" s="1"/>
  <c r="AW178" i="39"/>
  <c r="F178" i="39" s="1"/>
  <c r="BE307" i="39" l="1"/>
  <c r="L47" i="6"/>
  <c r="D40" i="55" s="1"/>
  <c r="G40" i="55"/>
  <c r="I40" i="55" s="1"/>
  <c r="K40" i="55" s="1"/>
  <c r="BE304" i="39"/>
  <c r="Y304" i="39" s="1"/>
  <c r="BE305" i="39"/>
  <c r="BE308" i="39"/>
  <c r="BE306" i="39"/>
  <c r="BH135" i="39" a="1"/>
  <c r="BH135" i="39" s="1"/>
  <c r="J135" i="39" s="1"/>
  <c r="AW303" i="39"/>
  <c r="F303" i="39" s="1"/>
  <c r="F13" i="55"/>
  <c r="S20" i="6"/>
  <c r="G14" i="89" a="1"/>
  <c r="G14" i="89" s="1"/>
  <c r="G15" i="89" a="1"/>
  <c r="G15" i="89" s="1"/>
  <c r="AW135" i="39"/>
  <c r="F135" i="39" s="1"/>
  <c r="BE22" i="39"/>
  <c r="BE15" i="39"/>
  <c r="BE12" i="39"/>
  <c r="BE49" i="39"/>
  <c r="BE34" i="39"/>
  <c r="BE24" i="39"/>
  <c r="BE37" i="39"/>
  <c r="BE46" i="39"/>
  <c r="BE11" i="39"/>
  <c r="Y11" i="39" s="1"/>
  <c r="BE31" i="39"/>
  <c r="BE41" i="39"/>
  <c r="BE25" i="39"/>
  <c r="BE21" i="39"/>
  <c r="BE16" i="39"/>
  <c r="BE23" i="39"/>
  <c r="BE35" i="39"/>
  <c r="BE42" i="39"/>
  <c r="BE32" i="39"/>
  <c r="BE13" i="39"/>
  <c r="BE18" i="39"/>
  <c r="BE40" i="39"/>
  <c r="BE39" i="39"/>
  <c r="BE38" i="39"/>
  <c r="BE26" i="39"/>
  <c r="BE30" i="39"/>
  <c r="BE36" i="39"/>
  <c r="BE45" i="39"/>
  <c r="BE29" i="39"/>
  <c r="BE33" i="39"/>
  <c r="BE14" i="39"/>
  <c r="BE27" i="39"/>
  <c r="BE28" i="39"/>
  <c r="BE47" i="39"/>
  <c r="BE48" i="39"/>
  <c r="BE20" i="39"/>
  <c r="BE19" i="39"/>
  <c r="BE44" i="39"/>
  <c r="BE17" i="39"/>
  <c r="L20" i="6"/>
  <c r="D13" i="55" s="1"/>
  <c r="BE43" i="39"/>
  <c r="G13" i="55"/>
  <c r="I13" i="55" s="1"/>
  <c r="K13" i="55" s="1"/>
  <c r="BE50" i="39"/>
  <c r="H14" i="89" a="1"/>
  <c r="H14" i="89" s="1"/>
  <c r="H15" i="89" a="1"/>
  <c r="H15" i="89" s="1"/>
  <c r="BE63" i="39"/>
  <c r="Y63" i="39" s="1"/>
  <c r="BE64" i="39"/>
  <c r="G15" i="55"/>
  <c r="I15" i="55" s="1"/>
  <c r="K15" i="55" s="1"/>
  <c r="BE66" i="39"/>
  <c r="L22" i="6"/>
  <c r="D15" i="55" s="1"/>
  <c r="BE65" i="39"/>
  <c r="H6" i="55"/>
  <c r="T51" i="6" a="1"/>
  <c r="T51" i="6" s="1"/>
  <c r="F43" i="55" s="1"/>
  <c r="L7" i="55" s="1"/>
  <c r="BE247" i="39"/>
  <c r="BE245" i="39"/>
  <c r="L38" i="6"/>
  <c r="D31" i="55" s="1"/>
  <c r="G31" i="55"/>
  <c r="I31" i="55" s="1"/>
  <c r="K31" i="55" s="1"/>
  <c r="BE244" i="39"/>
  <c r="Y244" i="39" s="1"/>
  <c r="BE246" i="39"/>
  <c r="G18" i="55"/>
  <c r="I18" i="55" s="1"/>
  <c r="K18" i="55" s="1"/>
  <c r="BE103" i="39"/>
  <c r="BE102" i="39"/>
  <c r="BE101" i="39"/>
  <c r="Y101" i="39" s="1"/>
  <c r="L25" i="6"/>
  <c r="D18" i="55" s="1"/>
  <c r="AD14" i="89" a="1"/>
  <c r="AD14" i="89" s="1"/>
  <c r="AD15" i="89" a="1"/>
  <c r="AD15" i="89" s="1"/>
  <c r="AW130" i="39"/>
  <c r="F130" i="39" s="1"/>
  <c r="BH129" i="39" a="1"/>
  <c r="BH129" i="39" s="1"/>
  <c r="J129" i="39" s="1"/>
  <c r="BH301" i="39" a="1"/>
  <c r="BH301" i="39" s="1"/>
  <c r="J301" i="39" s="1"/>
  <c r="BA301" i="39"/>
  <c r="H301" i="39" s="1"/>
  <c r="AW131" i="39"/>
  <c r="F131" i="39" s="1"/>
  <c r="AW264" i="39"/>
  <c r="F264" i="39" s="1"/>
  <c r="BA264" i="39"/>
  <c r="H264" i="39" s="1"/>
  <c r="BH265" i="39" a="1"/>
  <c r="BH265" i="39" s="1"/>
  <c r="J265" i="39" s="1"/>
  <c r="BA265" i="39"/>
  <c r="H265" i="39" s="1"/>
  <c r="AW265" i="39"/>
  <c r="F265" i="39" s="1"/>
  <c r="I7" i="39"/>
  <c r="J280" i="39"/>
  <c r="BH279" i="39"/>
  <c r="J279" i="39" s="1"/>
  <c r="AW254" i="39"/>
  <c r="F254" i="39" s="1"/>
  <c r="BA254" i="39"/>
  <c r="H254" i="39" s="1"/>
  <c r="BH254" i="39" a="1"/>
  <c r="BH254" i="39" s="1"/>
  <c r="BH256" i="39" a="1"/>
  <c r="BH256" i="39" s="1"/>
  <c r="J256" i="39" s="1"/>
  <c r="AW256" i="39"/>
  <c r="F256" i="39" s="1"/>
  <c r="BA256" i="39"/>
  <c r="H256" i="39" s="1"/>
  <c r="BH296" i="39" a="1"/>
  <c r="BH296" i="39" s="1"/>
  <c r="J296" i="39" s="1"/>
  <c r="AW296" i="39"/>
  <c r="F296" i="39" s="1"/>
  <c r="BA296" i="39"/>
  <c r="H296" i="39" s="1"/>
  <c r="J167" i="39"/>
  <c r="BH166" i="39"/>
  <c r="J166" i="39" s="1"/>
  <c r="AW294" i="39"/>
  <c r="F294" i="39" s="1"/>
  <c r="BA294" i="39"/>
  <c r="H294" i="39" s="1"/>
  <c r="BH294" i="39" a="1"/>
  <c r="BH294" i="39" s="1"/>
  <c r="J294" i="39" s="1"/>
  <c r="AW292" i="39"/>
  <c r="F292" i="39" s="1"/>
  <c r="BH292" i="39" a="1"/>
  <c r="BH292" i="39" s="1"/>
  <c r="J292" i="39" s="1"/>
  <c r="BA292" i="39"/>
  <c r="H292" i="39" s="1"/>
  <c r="AW255" i="39"/>
  <c r="F255" i="39" s="1"/>
  <c r="BA255" i="39"/>
  <c r="H255" i="39" s="1"/>
  <c r="BH255" i="39" a="1"/>
  <c r="BH255" i="39" s="1"/>
  <c r="J255" i="39" s="1"/>
  <c r="BH291" i="39" a="1"/>
  <c r="BH291" i="39" s="1"/>
  <c r="AW291" i="39"/>
  <c r="F291" i="39" s="1"/>
  <c r="BA291" i="39"/>
  <c r="H291" i="39" s="1"/>
  <c r="BH295" i="39" a="1"/>
  <c r="BH295" i="39" s="1"/>
  <c r="J295" i="39" s="1"/>
  <c r="BA295" i="39"/>
  <c r="H295" i="39" s="1"/>
  <c r="AW295" i="39"/>
  <c r="F295" i="39" s="1"/>
  <c r="AW293" i="39"/>
  <c r="F293" i="39" s="1"/>
  <c r="BA293" i="39"/>
  <c r="H293" i="39" s="1"/>
  <c r="BH293" i="39" a="1"/>
  <c r="BH293" i="39" s="1"/>
  <c r="J293" i="39" s="1"/>
  <c r="J158" i="39"/>
  <c r="BH157" i="39"/>
  <c r="J157" i="39" s="1"/>
  <c r="AW238" i="39"/>
  <c r="F238" i="39" s="1"/>
  <c r="BA238" i="39"/>
  <c r="H238" i="39" s="1"/>
  <c r="BH238" i="39" a="1"/>
  <c r="BH238" i="39" s="1"/>
  <c r="J238" i="39" s="1"/>
  <c r="BH228" i="39" a="1"/>
  <c r="BH228" i="39" s="1"/>
  <c r="AW228" i="39"/>
  <c r="F228" i="39" s="1"/>
  <c r="BA228" i="39"/>
  <c r="H228" i="39" s="1"/>
  <c r="BA232" i="39"/>
  <c r="H232" i="39" s="1"/>
  <c r="BH232" i="39" a="1"/>
  <c r="BH232" i="39" s="1"/>
  <c r="J232" i="39" s="1"/>
  <c r="AW232" i="39"/>
  <c r="F232" i="39" s="1"/>
  <c r="BA239" i="39"/>
  <c r="H239" i="39" s="1"/>
  <c r="BH239" i="39" a="1"/>
  <c r="BH239" i="39" s="1"/>
  <c r="J239" i="39" s="1"/>
  <c r="AW239" i="39"/>
  <c r="F239" i="39" s="1"/>
  <c r="AW241" i="39"/>
  <c r="F241" i="39" s="1"/>
  <c r="BA241" i="39"/>
  <c r="H241" i="39" s="1"/>
  <c r="BH241" i="39" a="1"/>
  <c r="BH241" i="39" s="1"/>
  <c r="J241" i="39" s="1"/>
  <c r="BH233" i="39" a="1"/>
  <c r="BH233" i="39" s="1"/>
  <c r="J233" i="39" s="1"/>
  <c r="AW233" i="39"/>
  <c r="F233" i="39" s="1"/>
  <c r="BA233" i="39"/>
  <c r="H233" i="39" s="1"/>
  <c r="AW230" i="39"/>
  <c r="F230" i="39" s="1"/>
  <c r="BA230" i="39"/>
  <c r="H230" i="39" s="1"/>
  <c r="BH230" i="39" a="1"/>
  <c r="BH230" i="39" s="1"/>
  <c r="J230" i="39" s="1"/>
  <c r="AW243" i="39"/>
  <c r="F243" i="39" s="1"/>
  <c r="BA243" i="39"/>
  <c r="H243" i="39" s="1"/>
  <c r="BH243" i="39" a="1"/>
  <c r="BH243" i="39" s="1"/>
  <c r="J243" i="39" s="1"/>
  <c r="AW235" i="39"/>
  <c r="F235" i="39" s="1"/>
  <c r="BA235" i="39"/>
  <c r="H235" i="39" s="1"/>
  <c r="BH235" i="39" a="1"/>
  <c r="BH235" i="39" s="1"/>
  <c r="J235" i="39" s="1"/>
  <c r="AW236" i="39"/>
  <c r="F236" i="39" s="1"/>
  <c r="BH236" i="39" a="1"/>
  <c r="BH236" i="39" s="1"/>
  <c r="J236" i="39" s="1"/>
  <c r="BA236" i="39"/>
  <c r="H236" i="39" s="1"/>
  <c r="BH237" i="39" a="1"/>
  <c r="BH237" i="39" s="1"/>
  <c r="J237" i="39" s="1"/>
  <c r="AW237" i="39"/>
  <c r="F237" i="39" s="1"/>
  <c r="BA237" i="39"/>
  <c r="H237" i="39" s="1"/>
  <c r="BH242" i="39" a="1"/>
  <c r="BH242" i="39" s="1"/>
  <c r="J242" i="39" s="1"/>
  <c r="AW242" i="39"/>
  <c r="F242" i="39" s="1"/>
  <c r="BA242" i="39"/>
  <c r="H242" i="39" s="1"/>
  <c r="BH82" i="39"/>
  <c r="J82" i="39" s="1"/>
  <c r="J83" i="39"/>
  <c r="AW234" i="39"/>
  <c r="F234" i="39" s="1"/>
  <c r="BH234" i="39" a="1"/>
  <c r="BH234" i="39" s="1"/>
  <c r="J234" i="39" s="1"/>
  <c r="BA234" i="39"/>
  <c r="H234" i="39" s="1"/>
  <c r="BH229" i="39" a="1"/>
  <c r="BH229" i="39" s="1"/>
  <c r="J229" i="39" s="1"/>
  <c r="BA229" i="39"/>
  <c r="H229" i="39" s="1"/>
  <c r="AW229" i="39"/>
  <c r="F229" i="39" s="1"/>
  <c r="BH231" i="39" a="1"/>
  <c r="BH231" i="39" s="1"/>
  <c r="J231" i="39" s="1"/>
  <c r="AW231" i="39"/>
  <c r="F231" i="39" s="1"/>
  <c r="BA231" i="39"/>
  <c r="H231" i="39" s="1"/>
  <c r="BH240" i="39" a="1"/>
  <c r="BH240" i="39" s="1"/>
  <c r="J240" i="39" s="1"/>
  <c r="AW240" i="39"/>
  <c r="F240" i="39" s="1"/>
  <c r="BA240" i="39"/>
  <c r="H240" i="39" s="1"/>
  <c r="BA117" i="39"/>
  <c r="H117" i="39" s="1"/>
  <c r="BH117" i="39" a="1"/>
  <c r="BH117" i="39" s="1"/>
  <c r="J117" i="39" s="1"/>
  <c r="AW117" i="39"/>
  <c r="F117" i="39" s="1"/>
  <c r="BH118" i="39" a="1"/>
  <c r="BH118" i="39" s="1"/>
  <c r="J118" i="39" s="1"/>
  <c r="AW118" i="39"/>
  <c r="F118" i="39" s="1"/>
  <c r="BA118" i="39"/>
  <c r="H118" i="39" s="1"/>
  <c r="AW261" i="39"/>
  <c r="F261" i="39" s="1"/>
  <c r="BA261" i="39"/>
  <c r="H261" i="39" s="1"/>
  <c r="BH261" i="39" a="1"/>
  <c r="BH261" i="39" s="1"/>
  <c r="J261" i="39" s="1"/>
  <c r="BH267" i="39" a="1"/>
  <c r="BH267" i="39" s="1"/>
  <c r="J267" i="39" s="1"/>
  <c r="AW267" i="39"/>
  <c r="F267" i="39" s="1"/>
  <c r="BA267" i="39"/>
  <c r="H267" i="39" s="1"/>
  <c r="AW259" i="39"/>
  <c r="F259" i="39" s="1"/>
  <c r="BH259" i="39" a="1"/>
  <c r="BH259" i="39" s="1"/>
  <c r="J259" i="39" s="1"/>
  <c r="BA259" i="39"/>
  <c r="H259" i="39" s="1"/>
  <c r="BH139" i="39" a="1"/>
  <c r="BH139" i="39" s="1"/>
  <c r="J139" i="39" s="1"/>
  <c r="AW139" i="39"/>
  <c r="F139" i="39" s="1"/>
  <c r="BA139" i="39"/>
  <c r="H139" i="39" s="1"/>
  <c r="BH142" i="39" a="1"/>
  <c r="BH142" i="39" s="1"/>
  <c r="J142" i="39" s="1"/>
  <c r="AW142" i="39"/>
  <c r="F142" i="39" s="1"/>
  <c r="BA142" i="39"/>
  <c r="H142" i="39" s="1"/>
  <c r="AW72" i="39"/>
  <c r="F72" i="39" s="1"/>
  <c r="BH72" i="39" a="1"/>
  <c r="BH72" i="39" s="1"/>
  <c r="J72" i="39" s="1"/>
  <c r="BA72" i="39"/>
  <c r="H72" i="39" s="1"/>
  <c r="AW76" i="39"/>
  <c r="F76" i="39" s="1"/>
  <c r="BA76" i="39"/>
  <c r="H76" i="39" s="1"/>
  <c r="BH76" i="39" a="1"/>
  <c r="BH76" i="39" s="1"/>
  <c r="J76" i="39" s="1"/>
  <c r="BH77" i="39" a="1"/>
  <c r="BH77" i="39" s="1"/>
  <c r="J77" i="39" s="1"/>
  <c r="AW77" i="39"/>
  <c r="F77" i="39" s="1"/>
  <c r="BA77" i="39"/>
  <c r="H77" i="39" s="1"/>
  <c r="BH116" i="39" a="1"/>
  <c r="BH116" i="39" s="1"/>
  <c r="J116" i="39" s="1"/>
  <c r="AW116" i="39"/>
  <c r="F116" i="39" s="1"/>
  <c r="BA116" i="39"/>
  <c r="H116" i="39" s="1"/>
  <c r="BH119" i="39" a="1"/>
  <c r="BH119" i="39" s="1"/>
  <c r="J119" i="39" s="1"/>
  <c r="AW119" i="39"/>
  <c r="F119" i="39" s="1"/>
  <c r="BA119" i="39"/>
  <c r="H119" i="39" s="1"/>
  <c r="BH268" i="39" a="1"/>
  <c r="BH268" i="39" s="1"/>
  <c r="J268" i="39" s="1"/>
  <c r="AW268" i="39"/>
  <c r="F268" i="39" s="1"/>
  <c r="BA268" i="39"/>
  <c r="H268" i="39" s="1"/>
  <c r="BA260" i="39"/>
  <c r="H260" i="39" s="1"/>
  <c r="BH260" i="39" a="1"/>
  <c r="BH260" i="39" s="1"/>
  <c r="J260" i="39" s="1"/>
  <c r="AW260" i="39"/>
  <c r="F260" i="39" s="1"/>
  <c r="BH262" i="39" a="1"/>
  <c r="BH262" i="39" s="1"/>
  <c r="J262" i="39" s="1"/>
  <c r="AW262" i="39"/>
  <c r="F262" i="39" s="1"/>
  <c r="BA262" i="39"/>
  <c r="H262" i="39" s="1"/>
  <c r="BA144" i="39"/>
  <c r="H144" i="39" s="1"/>
  <c r="BH144" i="39" a="1"/>
  <c r="BH144" i="39" s="1"/>
  <c r="J144" i="39" s="1"/>
  <c r="AW144" i="39"/>
  <c r="F144" i="39" s="1"/>
  <c r="AW74" i="39"/>
  <c r="F74" i="39" s="1"/>
  <c r="BA74" i="39"/>
  <c r="H74" i="39" s="1"/>
  <c r="BH74" i="39" a="1"/>
  <c r="BH74" i="39" s="1"/>
  <c r="J74" i="39" s="1"/>
  <c r="AW71" i="39"/>
  <c r="F71" i="39" s="1"/>
  <c r="BA71" i="39"/>
  <c r="H71" i="39" s="1"/>
  <c r="BH71" i="39" a="1"/>
  <c r="BH71" i="39" s="1"/>
  <c r="J71" i="39" s="1"/>
  <c r="BH81" i="39" a="1"/>
  <c r="BH81" i="39" s="1"/>
  <c r="J81" i="39" s="1"/>
  <c r="AW81" i="39"/>
  <c r="F81" i="39" s="1"/>
  <c r="BA81" i="39"/>
  <c r="H81" i="39" s="1"/>
  <c r="BA271" i="39"/>
  <c r="H271" i="39" s="1"/>
  <c r="BH271" i="39" a="1"/>
  <c r="BH271" i="39" s="1"/>
  <c r="J271" i="39" s="1"/>
  <c r="AW271" i="39"/>
  <c r="F271" i="39" s="1"/>
  <c r="BA263" i="39"/>
  <c r="H263" i="39" s="1"/>
  <c r="BH263" i="39" a="1"/>
  <c r="BH263" i="39" s="1"/>
  <c r="J263" i="39" s="1"/>
  <c r="AW263" i="39"/>
  <c r="F263" i="39" s="1"/>
  <c r="BA270" i="39"/>
  <c r="H270" i="39" s="1"/>
  <c r="BH270" i="39" a="1"/>
  <c r="BH270" i="39" s="1"/>
  <c r="J270" i="39" s="1"/>
  <c r="AW270" i="39"/>
  <c r="F270" i="39" s="1"/>
  <c r="BH143" i="39" a="1"/>
  <c r="BH143" i="39" s="1"/>
  <c r="J143" i="39" s="1"/>
  <c r="AW143" i="39"/>
  <c r="F143" i="39" s="1"/>
  <c r="BA143" i="39"/>
  <c r="H143" i="39" s="1"/>
  <c r="AW138" i="39"/>
  <c r="F138" i="39" s="1"/>
  <c r="BA138" i="39"/>
  <c r="H138" i="39" s="1"/>
  <c r="BH138" i="39" a="1"/>
  <c r="BH138" i="39" s="1"/>
  <c r="J138" i="39" s="1"/>
  <c r="BA140" i="39"/>
  <c r="H140" i="39" s="1"/>
  <c r="BH140" i="39" a="1"/>
  <c r="BH140" i="39" s="1"/>
  <c r="J140" i="39" s="1"/>
  <c r="AW140" i="39"/>
  <c r="F140" i="39" s="1"/>
  <c r="BH68" i="39" a="1"/>
  <c r="BH68" i="39" s="1"/>
  <c r="AW68" i="39"/>
  <c r="F68" i="39" s="1"/>
  <c r="BA68" i="39"/>
  <c r="H68" i="39" s="1"/>
  <c r="BA75" i="39"/>
  <c r="H75" i="39" s="1"/>
  <c r="AW75" i="39"/>
  <c r="F75" i="39" s="1"/>
  <c r="BH75" i="39" a="1"/>
  <c r="BH75" i="39" s="1"/>
  <c r="J75" i="39" s="1"/>
  <c r="BH70" i="39" a="1"/>
  <c r="BH70" i="39" s="1"/>
  <c r="J70" i="39" s="1"/>
  <c r="AW70" i="39"/>
  <c r="F70" i="39" s="1"/>
  <c r="BA70" i="39"/>
  <c r="H70" i="39" s="1"/>
  <c r="BA69" i="39"/>
  <c r="H69" i="39" s="1"/>
  <c r="BH69" i="39" a="1"/>
  <c r="BH69" i="39" s="1"/>
  <c r="J69" i="39" s="1"/>
  <c r="AW69" i="39"/>
  <c r="F69" i="39" s="1"/>
  <c r="AW115" i="39"/>
  <c r="F115" i="39" s="1"/>
  <c r="BA115" i="39"/>
  <c r="H115" i="39" s="1"/>
  <c r="BH115" i="39" a="1"/>
  <c r="BH115" i="39" s="1"/>
  <c r="J115" i="39" s="1"/>
  <c r="BH114" i="39" a="1"/>
  <c r="BH114" i="39" s="1"/>
  <c r="AW114" i="39"/>
  <c r="F114" i="39" s="1"/>
  <c r="BA114" i="39"/>
  <c r="H114" i="39" s="1"/>
  <c r="AW269" i="39"/>
  <c r="F269" i="39" s="1"/>
  <c r="BA269" i="39"/>
  <c r="H269" i="39" s="1"/>
  <c r="BH269" i="39" a="1"/>
  <c r="BH269" i="39" s="1"/>
  <c r="J269" i="39" s="1"/>
  <c r="BH258" i="39" a="1"/>
  <c r="BH258" i="39" s="1"/>
  <c r="AW258" i="39"/>
  <c r="F258" i="39" s="1"/>
  <c r="BA258" i="39"/>
  <c r="H258" i="39" s="1"/>
  <c r="BA141" i="39"/>
  <c r="H141" i="39" s="1"/>
  <c r="BH141" i="39" a="1"/>
  <c r="BH141" i="39" s="1"/>
  <c r="J141" i="39" s="1"/>
  <c r="AW141" i="39"/>
  <c r="F141" i="39" s="1"/>
  <c r="AW137" i="39"/>
  <c r="F137" i="39" s="1"/>
  <c r="BA137" i="39"/>
  <c r="H137" i="39" s="1"/>
  <c r="BH137" i="39" a="1"/>
  <c r="BH137" i="39" s="1"/>
  <c r="AW78" i="39"/>
  <c r="F78" i="39" s="1"/>
  <c r="BA78" i="39"/>
  <c r="H78" i="39" s="1"/>
  <c r="BH78" i="39" a="1"/>
  <c r="BH78" i="39" s="1"/>
  <c r="J78" i="39" s="1"/>
  <c r="AW73" i="39"/>
  <c r="F73" i="39" s="1"/>
  <c r="BA73" i="39"/>
  <c r="H73" i="39" s="1"/>
  <c r="BH73" i="39" a="1"/>
  <c r="BH73" i="39" s="1"/>
  <c r="J73" i="39" s="1"/>
  <c r="BH79" i="39" a="1"/>
  <c r="BH79" i="39" s="1"/>
  <c r="J79" i="39" s="1"/>
  <c r="AW79" i="39"/>
  <c r="F79" i="39" s="1"/>
  <c r="BA79" i="39"/>
  <c r="H79" i="39" s="1"/>
  <c r="AW80" i="39"/>
  <c r="F80" i="39" s="1"/>
  <c r="BA80" i="39"/>
  <c r="H80" i="39" s="1"/>
  <c r="BH80" i="39" a="1"/>
  <c r="BH80" i="39" s="1"/>
  <c r="J80" i="39" s="1"/>
  <c r="J298" i="39"/>
  <c r="BH297" i="39"/>
  <c r="J297" i="39" s="1"/>
  <c r="BH120" i="39"/>
  <c r="J120" i="39" s="1"/>
  <c r="J121" i="39"/>
  <c r="BH210" i="39"/>
  <c r="J210" i="39" s="1"/>
  <c r="J211" i="39"/>
  <c r="J178" i="39"/>
  <c r="BH177" i="39"/>
  <c r="J177" i="39" s="1"/>
  <c r="J128" i="39"/>
  <c r="BA333" i="39"/>
  <c r="H333" i="39" s="1"/>
  <c r="BH333" i="39" a="1"/>
  <c r="BH333" i="39" s="1"/>
  <c r="J333" i="39" s="1"/>
  <c r="AW333" i="39"/>
  <c r="F333" i="39" s="1"/>
  <c r="BA330" i="39"/>
  <c r="H330" i="39" s="1"/>
  <c r="BH330" i="39" a="1"/>
  <c r="BH330" i="39" s="1"/>
  <c r="J330" i="39" s="1"/>
  <c r="AW330" i="39"/>
  <c r="F330" i="39" s="1"/>
  <c r="BH331" i="39" a="1"/>
  <c r="BH331" i="39" s="1"/>
  <c r="J331" i="39" s="1"/>
  <c r="AW331" i="39"/>
  <c r="F331" i="39" s="1"/>
  <c r="BA331" i="39"/>
  <c r="H331" i="39" s="1"/>
  <c r="AW328" i="39"/>
  <c r="F328" i="39" s="1"/>
  <c r="BA328" i="39"/>
  <c r="H328" i="39" s="1"/>
  <c r="BH328" i="39" a="1"/>
  <c r="BH328" i="39" s="1"/>
  <c r="BH145" i="39"/>
  <c r="J145" i="39" s="1"/>
  <c r="J146" i="39"/>
  <c r="J285" i="39"/>
  <c r="BH284" i="39"/>
  <c r="J284" i="39" s="1"/>
  <c r="BH309" i="39"/>
  <c r="J309" i="39" s="1"/>
  <c r="J310" i="39"/>
  <c r="AW339" i="39"/>
  <c r="F339" i="39" s="1"/>
  <c r="BA339" i="39"/>
  <c r="H339" i="39" s="1"/>
  <c r="BH339" i="39" a="1"/>
  <c r="BH339" i="39" s="1"/>
  <c r="J339" i="39" s="1"/>
  <c r="BA338" i="39"/>
  <c r="H338" i="39" s="1"/>
  <c r="BH338" i="39" a="1"/>
  <c r="BH338" i="39" s="1"/>
  <c r="J338" i="39" s="1"/>
  <c r="AW338" i="39"/>
  <c r="F338" i="39" s="1"/>
  <c r="BA340" i="39"/>
  <c r="H340" i="39" s="1"/>
  <c r="BH340" i="39" a="1"/>
  <c r="BH340" i="39" s="1"/>
  <c r="J340" i="39" s="1"/>
  <c r="AW340" i="39"/>
  <c r="F340" i="39" s="1"/>
  <c r="J249" i="39"/>
  <c r="BH248" i="39"/>
  <c r="J248" i="39" s="1"/>
  <c r="BH337" i="39" a="1"/>
  <c r="BH337" i="39" s="1"/>
  <c r="J337" i="39" s="1"/>
  <c r="BA337" i="39"/>
  <c r="H337" i="39" s="1"/>
  <c r="AW337" i="39"/>
  <c r="F337" i="39" s="1"/>
  <c r="K42" i="55"/>
  <c r="I43" i="55"/>
  <c r="BH334" i="39" a="1"/>
  <c r="BH334" i="39" s="1"/>
  <c r="J334" i="39" s="1"/>
  <c r="AW334" i="39"/>
  <c r="F334" i="39" s="1"/>
  <c r="BA334" i="39"/>
  <c r="H334" i="39" s="1"/>
  <c r="L51" i="6" a="1"/>
  <c r="L51" i="6" s="1"/>
  <c r="D43" i="55" s="1"/>
  <c r="L8" i="55" s="1"/>
  <c r="J207" i="39"/>
  <c r="BH206" i="39"/>
  <c r="J206" i="39" s="1"/>
  <c r="J105" i="39"/>
  <c r="BH104" i="39"/>
  <c r="J104" i="39" s="1"/>
  <c r="AW332" i="39"/>
  <c r="F332" i="39" s="1"/>
  <c r="BH332" i="39" a="1"/>
  <c r="BH332" i="39" s="1"/>
  <c r="J332" i="39" s="1"/>
  <c r="BA332" i="39"/>
  <c r="H332" i="39" s="1"/>
  <c r="AW336" i="39"/>
  <c r="F336" i="39" s="1"/>
  <c r="BA336" i="39"/>
  <c r="H336" i="39" s="1"/>
  <c r="BH336" i="39" a="1"/>
  <c r="BH336" i="39" s="1"/>
  <c r="J336" i="39" s="1"/>
  <c r="AW335" i="39"/>
  <c r="F335" i="39" s="1"/>
  <c r="BH335" i="39" a="1"/>
  <c r="BH335" i="39" s="1"/>
  <c r="J335" i="39" s="1"/>
  <c r="BA335" i="39"/>
  <c r="H335" i="39" s="1"/>
  <c r="BA329" i="39"/>
  <c r="H329" i="39" s="1"/>
  <c r="AW329" i="39"/>
  <c r="F329" i="39" s="1"/>
  <c r="BH329" i="39" a="1"/>
  <c r="BH329" i="39" s="1"/>
  <c r="J329" i="39" s="1"/>
  <c r="BH246" i="39" l="1" a="1"/>
  <c r="BH246" i="39" s="1"/>
  <c r="J246" i="39" s="1"/>
  <c r="BA246" i="39"/>
  <c r="H246" i="39" s="1"/>
  <c r="AW246" i="39"/>
  <c r="F246" i="39" s="1"/>
  <c r="AW245" i="39"/>
  <c r="F245" i="39" s="1"/>
  <c r="BH245" i="39" a="1"/>
  <c r="BH245" i="39" s="1"/>
  <c r="BA245" i="39"/>
  <c r="H245" i="39" s="1"/>
  <c r="BA65" i="39"/>
  <c r="H65" i="39" s="1"/>
  <c r="BH65" i="39" a="1"/>
  <c r="BH65" i="39" s="1"/>
  <c r="J65" i="39" s="1"/>
  <c r="AW65" i="39"/>
  <c r="F65" i="39" s="1"/>
  <c r="BA64" i="39"/>
  <c r="H64" i="39" s="1"/>
  <c r="AW64" i="39"/>
  <c r="F64" i="39" s="1"/>
  <c r="BH64" i="39" a="1"/>
  <c r="BH64" i="39" s="1"/>
  <c r="BA50" i="39"/>
  <c r="H50" i="39" s="1"/>
  <c r="BH50" i="39" a="1"/>
  <c r="BH50" i="39" s="1"/>
  <c r="J50" i="39" s="1"/>
  <c r="AW50" i="39"/>
  <c r="F50" i="39" s="1"/>
  <c r="AW17" i="39"/>
  <c r="F17" i="39" s="1"/>
  <c r="BA17" i="39"/>
  <c r="H17" i="39" s="1"/>
  <c r="BH17" i="39" a="1"/>
  <c r="BH17" i="39" s="1"/>
  <c r="J17" i="39" s="1"/>
  <c r="AW48" i="39"/>
  <c r="F48" i="39" s="1"/>
  <c r="BA48" i="39"/>
  <c r="H48" i="39" s="1"/>
  <c r="BH48" i="39" a="1"/>
  <c r="BH48" i="39" s="1"/>
  <c r="J48" i="39" s="1"/>
  <c r="BA14" i="39"/>
  <c r="H14" i="39" s="1"/>
  <c r="BH14" i="39" a="1"/>
  <c r="BH14" i="39" s="1"/>
  <c r="J14" i="39" s="1"/>
  <c r="AW14" i="39"/>
  <c r="F14" i="39" s="1"/>
  <c r="AW36" i="39"/>
  <c r="F36" i="39" s="1"/>
  <c r="BH36" i="39" a="1"/>
  <c r="BH36" i="39" s="1"/>
  <c r="J36" i="39" s="1"/>
  <c r="BA36" i="39"/>
  <c r="H36" i="39" s="1"/>
  <c r="BH39" i="39" a="1"/>
  <c r="BH39" i="39" s="1"/>
  <c r="J39" i="39" s="1"/>
  <c r="AW39" i="39"/>
  <c r="F39" i="39" s="1"/>
  <c r="BA39" i="39"/>
  <c r="H39" i="39" s="1"/>
  <c r="AW32" i="39"/>
  <c r="F32" i="39" s="1"/>
  <c r="BA32" i="39"/>
  <c r="H32" i="39" s="1"/>
  <c r="BH32" i="39" a="1"/>
  <c r="BH32" i="39" s="1"/>
  <c r="J32" i="39" s="1"/>
  <c r="BH16" i="39" a="1"/>
  <c r="BH16" i="39" s="1"/>
  <c r="J16" i="39" s="1"/>
  <c r="BA16" i="39"/>
  <c r="H16" i="39" s="1"/>
  <c r="AW16" i="39"/>
  <c r="F16" i="39" s="1"/>
  <c r="BA31" i="39"/>
  <c r="H31" i="39" s="1"/>
  <c r="AW31" i="39"/>
  <c r="F31" i="39" s="1"/>
  <c r="BH31" i="39" a="1"/>
  <c r="BH31" i="39" s="1"/>
  <c r="J31" i="39" s="1"/>
  <c r="BA24" i="39"/>
  <c r="H24" i="39" s="1"/>
  <c r="BH24" i="39" a="1"/>
  <c r="BH24" i="39" s="1"/>
  <c r="J24" i="39" s="1"/>
  <c r="AW24" i="39"/>
  <c r="F24" i="39" s="1"/>
  <c r="BH15" i="39" a="1"/>
  <c r="BH15" i="39" s="1"/>
  <c r="J15" i="39" s="1"/>
  <c r="BA15" i="39"/>
  <c r="H15" i="39" s="1"/>
  <c r="AW15" i="39"/>
  <c r="F15" i="39" s="1"/>
  <c r="BH247" i="39" a="1"/>
  <c r="BH247" i="39" s="1"/>
  <c r="J247" i="39" s="1"/>
  <c r="AW247" i="39"/>
  <c r="F247" i="39" s="1"/>
  <c r="BA247" i="39"/>
  <c r="H247" i="39" s="1"/>
  <c r="AW44" i="39"/>
  <c r="F44" i="39" s="1"/>
  <c r="BA44" i="39"/>
  <c r="H44" i="39" s="1"/>
  <c r="BH44" i="39" a="1"/>
  <c r="BH44" i="39" s="1"/>
  <c r="J44" i="39" s="1"/>
  <c r="AW47" i="39"/>
  <c r="F47" i="39" s="1"/>
  <c r="BA47" i="39"/>
  <c r="H47" i="39" s="1"/>
  <c r="BH47" i="39" a="1"/>
  <c r="BH47" i="39" s="1"/>
  <c r="J47" i="39" s="1"/>
  <c r="AW33" i="39"/>
  <c r="F33" i="39" s="1"/>
  <c r="BA33" i="39"/>
  <c r="H33" i="39" s="1"/>
  <c r="BH33" i="39" a="1"/>
  <c r="BH33" i="39" s="1"/>
  <c r="J33" i="39" s="1"/>
  <c r="BA30" i="39"/>
  <c r="H30" i="39" s="1"/>
  <c r="BH30" i="39" a="1"/>
  <c r="BH30" i="39" s="1"/>
  <c r="J30" i="39" s="1"/>
  <c r="AW30" i="39"/>
  <c r="F30" i="39" s="1"/>
  <c r="AW40" i="39"/>
  <c r="F40" i="39" s="1"/>
  <c r="BA40" i="39"/>
  <c r="H40" i="39" s="1"/>
  <c r="BH40" i="39" a="1"/>
  <c r="BH40" i="39" s="1"/>
  <c r="J40" i="39" s="1"/>
  <c r="AW42" i="39"/>
  <c r="F42" i="39" s="1"/>
  <c r="BH42" i="39" a="1"/>
  <c r="BH42" i="39" s="1"/>
  <c r="J42" i="39" s="1"/>
  <c r="BA42" i="39"/>
  <c r="H42" i="39" s="1"/>
  <c r="BA21" i="39"/>
  <c r="H21" i="39" s="1"/>
  <c r="AW21" i="39"/>
  <c r="F21" i="39" s="1"/>
  <c r="BH21" i="39" a="1"/>
  <c r="BH21" i="39" s="1"/>
  <c r="J21" i="39" s="1"/>
  <c r="BA34" i="39"/>
  <c r="H34" i="39" s="1"/>
  <c r="BH34" i="39" a="1"/>
  <c r="BH34" i="39" s="1"/>
  <c r="J34" i="39" s="1"/>
  <c r="AW34" i="39"/>
  <c r="F34" i="39" s="1"/>
  <c r="BA22" i="39"/>
  <c r="H22" i="39" s="1"/>
  <c r="AW22" i="39"/>
  <c r="F22" i="39" s="1"/>
  <c r="BH22" i="39" a="1"/>
  <c r="BH22" i="39" s="1"/>
  <c r="J22" i="39" s="1"/>
  <c r="S51" i="6" a="1"/>
  <c r="S51" i="6" s="1"/>
  <c r="C43" i="55" s="1"/>
  <c r="L5" i="55" s="1"/>
  <c r="U20" i="6"/>
  <c r="C13" i="89" s="1"/>
  <c r="C13" i="55"/>
  <c r="BA306" i="39"/>
  <c r="H306" i="39" s="1"/>
  <c r="AW306" i="39"/>
  <c r="F306" i="39" s="1"/>
  <c r="BH306" i="39" a="1"/>
  <c r="BH306" i="39" s="1"/>
  <c r="J306" i="39" s="1"/>
  <c r="BA66" i="39"/>
  <c r="H66" i="39" s="1"/>
  <c r="BH66" i="39" a="1"/>
  <c r="BH66" i="39" s="1"/>
  <c r="J66" i="39" s="1"/>
  <c r="AW66" i="39"/>
  <c r="F66" i="39" s="1"/>
  <c r="BA43" i="39"/>
  <c r="H43" i="39" s="1"/>
  <c r="AW43" i="39"/>
  <c r="F43" i="39" s="1"/>
  <c r="BH43" i="39" a="1"/>
  <c r="BH43" i="39" s="1"/>
  <c r="J43" i="39" s="1"/>
  <c r="BH19" i="39" a="1"/>
  <c r="BH19" i="39" s="1"/>
  <c r="J19" i="39" s="1"/>
  <c r="AW19" i="39"/>
  <c r="F19" i="39" s="1"/>
  <c r="BA19" i="39"/>
  <c r="H19" i="39" s="1"/>
  <c r="BA28" i="39"/>
  <c r="H28" i="39" s="1"/>
  <c r="BH28" i="39" a="1"/>
  <c r="BH28" i="39" s="1"/>
  <c r="J28" i="39" s="1"/>
  <c r="AW28" i="39"/>
  <c r="F28" i="39" s="1"/>
  <c r="BA29" i="39"/>
  <c r="H29" i="39" s="1"/>
  <c r="AW29" i="39"/>
  <c r="F29" i="39" s="1"/>
  <c r="BH29" i="39" a="1"/>
  <c r="BH29" i="39" s="1"/>
  <c r="J29" i="39" s="1"/>
  <c r="AW26" i="39"/>
  <c r="F26" i="39" s="1"/>
  <c r="BH26" i="39" a="1"/>
  <c r="BH26" i="39" s="1"/>
  <c r="J26" i="39" s="1"/>
  <c r="BA26" i="39"/>
  <c r="H26" i="39" s="1"/>
  <c r="AW18" i="39"/>
  <c r="F18" i="39" s="1"/>
  <c r="BA18" i="39"/>
  <c r="H18" i="39" s="1"/>
  <c r="BH18" i="39" a="1"/>
  <c r="BH18" i="39" s="1"/>
  <c r="J18" i="39" s="1"/>
  <c r="AW35" i="39"/>
  <c r="F35" i="39" s="1"/>
  <c r="BA35" i="39"/>
  <c r="H35" i="39" s="1"/>
  <c r="BH35" i="39" a="1"/>
  <c r="BH35" i="39" s="1"/>
  <c r="J35" i="39" s="1"/>
  <c r="BH25" i="39" a="1"/>
  <c r="BH25" i="39" s="1"/>
  <c r="J25" i="39" s="1"/>
  <c r="AW25" i="39"/>
  <c r="F25" i="39" s="1"/>
  <c r="BA25" i="39"/>
  <c r="H25" i="39" s="1"/>
  <c r="BH46" i="39" a="1"/>
  <c r="BH46" i="39" s="1"/>
  <c r="J46" i="39" s="1"/>
  <c r="AW46" i="39"/>
  <c r="F46" i="39" s="1"/>
  <c r="BA46" i="39"/>
  <c r="H46" i="39" s="1"/>
  <c r="BH49" i="39" a="1"/>
  <c r="BH49" i="39" s="1"/>
  <c r="J49" i="39" s="1"/>
  <c r="AW49" i="39"/>
  <c r="F49" i="39" s="1"/>
  <c r="BA49" i="39"/>
  <c r="H49" i="39" s="1"/>
  <c r="BH308" i="39" a="1"/>
  <c r="BH308" i="39" s="1"/>
  <c r="J308" i="39" s="1"/>
  <c r="BA308" i="39"/>
  <c r="H308" i="39" s="1"/>
  <c r="AW308" i="39"/>
  <c r="F308" i="39" s="1"/>
  <c r="AW20" i="39"/>
  <c r="F20" i="39" s="1"/>
  <c r="BA20" i="39"/>
  <c r="H20" i="39" s="1"/>
  <c r="BH20" i="39" a="1"/>
  <c r="BH20" i="39" s="1"/>
  <c r="J20" i="39" s="1"/>
  <c r="BH27" i="39" a="1"/>
  <c r="BH27" i="39" s="1"/>
  <c r="J27" i="39" s="1"/>
  <c r="BA27" i="39"/>
  <c r="H27" i="39" s="1"/>
  <c r="AW27" i="39"/>
  <c r="F27" i="39" s="1"/>
  <c r="BA45" i="39"/>
  <c r="H45" i="39" s="1"/>
  <c r="BH45" i="39" a="1"/>
  <c r="BH45" i="39" s="1"/>
  <c r="J45" i="39" s="1"/>
  <c r="AW45" i="39"/>
  <c r="F45" i="39" s="1"/>
  <c r="BH38" i="39" a="1"/>
  <c r="BH38" i="39" s="1"/>
  <c r="J38" i="39" s="1"/>
  <c r="AW38" i="39"/>
  <c r="F38" i="39" s="1"/>
  <c r="BA38" i="39"/>
  <c r="H38" i="39" s="1"/>
  <c r="AW13" i="39"/>
  <c r="F13" i="39" s="1"/>
  <c r="BH13" i="39" a="1"/>
  <c r="BH13" i="39" s="1"/>
  <c r="J13" i="39" s="1"/>
  <c r="BA13" i="39"/>
  <c r="H13" i="39" s="1"/>
  <c r="BH23" i="39" a="1"/>
  <c r="BH23" i="39" s="1"/>
  <c r="J23" i="39" s="1"/>
  <c r="AW23" i="39"/>
  <c r="F23" i="39" s="1"/>
  <c r="BA23" i="39"/>
  <c r="H23" i="39" s="1"/>
  <c r="BA41" i="39"/>
  <c r="H41" i="39" s="1"/>
  <c r="AW41" i="39"/>
  <c r="F41" i="39" s="1"/>
  <c r="BH41" i="39" a="1"/>
  <c r="BH41" i="39" s="1"/>
  <c r="J41" i="39" s="1"/>
  <c r="BA37" i="39"/>
  <c r="H37" i="39" s="1"/>
  <c r="AW37" i="39"/>
  <c r="F37" i="39" s="1"/>
  <c r="BH37" i="39" a="1"/>
  <c r="BH37" i="39" s="1"/>
  <c r="J37" i="39" s="1"/>
  <c r="BH12" i="39" a="1"/>
  <c r="BH12" i="39" s="1"/>
  <c r="BA12" i="39"/>
  <c r="H12" i="39" s="1"/>
  <c r="AW12" i="39"/>
  <c r="F12" i="39" s="1"/>
  <c r="BH305" i="39" a="1"/>
  <c r="BH305" i="39" s="1"/>
  <c r="AW305" i="39"/>
  <c r="F305" i="39" s="1"/>
  <c r="BA305" i="39"/>
  <c r="H305" i="39" s="1"/>
  <c r="BA307" i="39"/>
  <c r="H307" i="39" s="1"/>
  <c r="BH307" i="39" a="1"/>
  <c r="BH307" i="39" s="1"/>
  <c r="J307" i="39" s="1"/>
  <c r="AW307" i="39"/>
  <c r="F307" i="39" s="1"/>
  <c r="AW102" i="39"/>
  <c r="F102" i="39" s="1"/>
  <c r="BA102" i="39"/>
  <c r="H102" i="39" s="1"/>
  <c r="BH102" i="39" a="1"/>
  <c r="BH102" i="39" s="1"/>
  <c r="BH103" i="39" a="1"/>
  <c r="BH103" i="39" s="1"/>
  <c r="J103" i="39" s="1"/>
  <c r="AW103" i="39"/>
  <c r="F103" i="39" s="1"/>
  <c r="BA103" i="39"/>
  <c r="H103" i="39" s="1"/>
  <c r="BH127" i="39"/>
  <c r="J127" i="39" s="1"/>
  <c r="J254" i="39"/>
  <c r="BH253" i="39"/>
  <c r="J253" i="39" s="1"/>
  <c r="BH290" i="39"/>
  <c r="J290" i="39" s="1"/>
  <c r="J291" i="39"/>
  <c r="J228" i="39"/>
  <c r="BH227" i="39"/>
  <c r="J227" i="39" s="1"/>
  <c r="BH67" i="39"/>
  <c r="J67" i="39" s="1"/>
  <c r="J68" i="39"/>
  <c r="J114" i="39"/>
  <c r="BH113" i="39"/>
  <c r="J113" i="39" s="1"/>
  <c r="BH136" i="39"/>
  <c r="J136" i="39" s="1"/>
  <c r="J137" i="39"/>
  <c r="BH257" i="39"/>
  <c r="J257" i="39" s="1"/>
  <c r="J258" i="39"/>
  <c r="H7" i="55"/>
  <c r="K43" i="55"/>
  <c r="H8" i="55" s="1"/>
  <c r="BH327" i="39"/>
  <c r="J327" i="39" s="1"/>
  <c r="J328" i="39"/>
  <c r="J305" i="39" l="1"/>
  <c r="BH304" i="39"/>
  <c r="J304" i="39" s="1"/>
  <c r="BH63" i="39"/>
  <c r="J63" i="39" s="1"/>
  <c r="J64" i="39"/>
  <c r="J12" i="39"/>
  <c r="BH11" i="39"/>
  <c r="J11" i="39" s="1"/>
  <c r="C15" i="89" a="1"/>
  <c r="C15" i="89" s="1"/>
  <c r="C14" i="89" a="1"/>
  <c r="C14" i="89" s="1"/>
  <c r="BH244" i="39"/>
  <c r="J244" i="39" s="1"/>
  <c r="J245" i="39"/>
  <c r="BH101" i="39"/>
  <c r="J101" i="39" s="1"/>
  <c r="J102" i="39"/>
</calcChain>
</file>

<file path=xl/sharedStrings.xml><?xml version="1.0" encoding="utf-8"?>
<sst xmlns="http://schemas.openxmlformats.org/spreadsheetml/2006/main" count="3759" uniqueCount="951">
  <si>
    <t xml:space="preserve"> Раздел "Футбол", Блоги о футболе, Конференции о футболе</t>
  </si>
  <si>
    <t>Яндекс: расчет "дробной" недели производится с коэффициентом того месяца, на который приходится старт кампании.</t>
  </si>
  <si>
    <t xml:space="preserve">Остальные площадки: расчет "дробной" недели происходит по коэффициенту того месяца, в который попадают как минимум три рабочих дня недели. </t>
  </si>
  <si>
    <t>Отсутствие конкурентов</t>
  </si>
  <si>
    <t>По времени суток</t>
  </si>
  <si>
    <t>Видео, аудио</t>
  </si>
  <si>
    <t>НАЦЕНКА</t>
  </si>
  <si>
    <t>КРЕДИТ, %</t>
  </si>
  <si>
    <t>Лотереи</t>
  </si>
  <si>
    <t>Аудио</t>
  </si>
  <si>
    <t>Видео, Аудио</t>
  </si>
  <si>
    <t>Стимулирующие акции</t>
  </si>
  <si>
    <t>Время суток</t>
  </si>
  <si>
    <t>Упрощенная форма налогообложения</t>
  </si>
  <si>
    <t>Vesti.ru</t>
  </si>
  <si>
    <t>Vesti</t>
  </si>
  <si>
    <t>FullScreen, F = 1 в сутки</t>
  </si>
  <si>
    <t>FullScreen</t>
  </si>
  <si>
    <t>ПРАЙС-ЛИСТ AFISHA.RU</t>
  </si>
  <si>
    <t>ПРАЙС-ЛИСТ NEWSRU.COM</t>
  </si>
  <si>
    <t>ПРАЙС-ЛИСТ INOPRESSA.RU</t>
  </si>
  <si>
    <t>ПРАЙС-ЛИСТ ECHO.MSK.RU</t>
  </si>
  <si>
    <t>ПРАЙС-ЛИСТ VESTI.RU</t>
  </si>
  <si>
    <t>ПРАЙС-ЛИСТ YANDEX.RU</t>
  </si>
  <si>
    <t>ПРАЙС-ЛИСТ KOMMERSANT.RU</t>
  </si>
  <si>
    <t>ПРАЙС-ЛИСТ F1NEWS.RU</t>
  </si>
  <si>
    <t>Синхронизированный показ</t>
  </si>
  <si>
    <t>Все страницы, BackScreen, F=1</t>
  </si>
  <si>
    <t>F=1 в сутки</t>
  </si>
  <si>
    <t>Все страницы, Frontline, F=1</t>
  </si>
  <si>
    <t>Все страницы, FullScreen, F=1</t>
  </si>
  <si>
    <t>F=1 в неделю</t>
  </si>
  <si>
    <t>Безалкогольное пиво</t>
  </si>
  <si>
    <t>2x2tv.ru</t>
  </si>
  <si>
    <t>Лекарственные средства</t>
  </si>
  <si>
    <t>Синхрон.</t>
  </si>
  <si>
    <t>Уголок</t>
  </si>
  <si>
    <t>Интерактив.</t>
  </si>
  <si>
    <t xml:space="preserve">FlyingScreen </t>
  </si>
  <si>
    <t>BackScreen</t>
  </si>
  <si>
    <t>Full Screen</t>
  </si>
  <si>
    <t>Главная страница, Томагавк (240х400+100%х90), статика</t>
  </si>
  <si>
    <t>Аудио, Видео</t>
  </si>
  <si>
    <t>По площадкам</t>
  </si>
  <si>
    <t>Бумеранг / Топор</t>
  </si>
  <si>
    <t>ПРАЙС-ЛИСТ MEDPORTAL.RU</t>
  </si>
  <si>
    <t>Medportal.ru</t>
  </si>
  <si>
    <t>Med</t>
  </si>
  <si>
    <t>Синхрон</t>
  </si>
  <si>
    <t>Пол</t>
  </si>
  <si>
    <t>Возраст</t>
  </si>
  <si>
    <t>Стоимость уточняйте у менеджера</t>
  </si>
  <si>
    <t>Вкл.</t>
  </si>
  <si>
    <t xml:space="preserve">Все страницы </t>
  </si>
  <si>
    <t>FlyingScreen</t>
  </si>
  <si>
    <t xml:space="preserve">только для Rich Media,  BackScreen и FullScreen </t>
  </si>
  <si>
    <t>ГЛАВНЫЕ СТРАНИЦЫ AUTO.RU и разделов WWW-Конференции, Продажа б/у авто, Продажа новых авто, Каталог автомобилей, Отзывы владельцев</t>
  </si>
  <si>
    <t>только для динамики</t>
  </si>
  <si>
    <t>ПРАЙС-ЛИСТ TVIDI.RU</t>
  </si>
  <si>
    <t>Tvidi.ru</t>
  </si>
  <si>
    <t>Все страницы (кроме минисайтов и миров), шапка сайта + КосмоЧат</t>
  </si>
  <si>
    <t>Tvidi</t>
  </si>
  <si>
    <t>ПРАЙС-ЛИСТ PASSION.RU</t>
  </si>
  <si>
    <t>Passion.ru</t>
  </si>
  <si>
    <t>Passion</t>
  </si>
  <si>
    <t>Минимальный заказ 50К</t>
  </si>
  <si>
    <t>Все страницы Блогов,  240х400</t>
  </si>
  <si>
    <t>ПРАЙС-ЛИСТ GOODHOUSE.RU</t>
  </si>
  <si>
    <t>WMJ + Passion</t>
  </si>
  <si>
    <t>кроме mama.ru</t>
  </si>
  <si>
    <t>GoodHouse.ru</t>
  </si>
  <si>
    <t>Gdhs</t>
  </si>
  <si>
    <t>F1News.ru</t>
  </si>
  <si>
    <t>F1News</t>
  </si>
  <si>
    <t>Август</t>
  </si>
  <si>
    <t>Сентябрь</t>
  </si>
  <si>
    <t>Yandex.ru</t>
  </si>
  <si>
    <t>Afisha.ru</t>
  </si>
  <si>
    <t>Auto.ru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</si>
  <si>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</si>
  <si>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</si>
  <si>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</si>
  <si>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</si>
  <si>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</si>
  <si>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</si>
  <si>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</si>
  <si>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Октябрь</t>
  </si>
  <si>
    <t>Ноябрь</t>
  </si>
  <si>
    <t>Декабрь</t>
  </si>
  <si>
    <t>Месяц</t>
  </si>
  <si>
    <t>ПОЧТА</t>
  </si>
  <si>
    <t>КОНЕЦ</t>
  </si>
  <si>
    <t>&lt; Название РК &gt;</t>
  </si>
  <si>
    <t>ИТОГО:</t>
  </si>
  <si>
    <t>Vokrugsveta.ru</t>
  </si>
  <si>
    <t>Kommersant.ru</t>
  </si>
  <si>
    <t>Пакет</t>
  </si>
  <si>
    <t>День</t>
  </si>
  <si>
    <t>ПРАЙС-ЛИСТ AUTO.RU</t>
  </si>
  <si>
    <t>ПРАЙС-ЛИСТ VOKRUGSVETA.RU</t>
  </si>
  <si>
    <t>&lt; Название бренда &gt;</t>
  </si>
  <si>
    <t>1000 контактов</t>
  </si>
  <si>
    <t>Неделя</t>
  </si>
  <si>
    <t>-</t>
  </si>
  <si>
    <t>Свободность позиций необходимо уточнять у менеджеров IMHO VI</t>
  </si>
  <si>
    <t>Объемная скидка на площадку, %</t>
  </si>
  <si>
    <t>Агентская скидка, %</t>
  </si>
  <si>
    <t>CPT по прайсу, руб.</t>
  </si>
  <si>
    <t>ГЕО?</t>
  </si>
  <si>
    <t>ЧАСТОТА?</t>
  </si>
  <si>
    <t>CPT с наценкой</t>
  </si>
  <si>
    <t>CPT, руб.</t>
  </si>
  <si>
    <t>ИТОГОВЫЕ ДАННЫЕ</t>
  </si>
  <si>
    <t>ВСЕ СТРАНИЦЫ</t>
  </si>
  <si>
    <t>ПРАЙС-ЛИСТ LIVEINTERNET.RU</t>
  </si>
  <si>
    <t>БЛОГИ</t>
  </si>
  <si>
    <t>ГЛАВНАЯ СТРАНИЦА</t>
  </si>
  <si>
    <t>Все страницы, 240х400</t>
  </si>
  <si>
    <t>ПРАЙС-ЛИСТ 3DNEWS.RU</t>
  </si>
  <si>
    <t>Newsru.com</t>
  </si>
  <si>
    <t>Echo.Msk.ru</t>
  </si>
  <si>
    <t>Inopressa.ru</t>
  </si>
  <si>
    <t>Liveinternet.ru</t>
  </si>
  <si>
    <t>3dnews.ru</t>
  </si>
  <si>
    <t>Ya</t>
  </si>
  <si>
    <t>Komm</t>
  </si>
  <si>
    <t>Newsru</t>
  </si>
  <si>
    <t>Afisha</t>
  </si>
  <si>
    <t>Auto</t>
  </si>
  <si>
    <t>Rian</t>
  </si>
  <si>
    <t>Echo</t>
  </si>
  <si>
    <t>Ino</t>
  </si>
  <si>
    <t>Vokrug</t>
  </si>
  <si>
    <t>Live</t>
  </si>
  <si>
    <t>СТРОКА</t>
  </si>
  <si>
    <t>d3</t>
  </si>
  <si>
    <t>Вкл</t>
  </si>
  <si>
    <t>Лотерея</t>
  </si>
  <si>
    <t>Лекарства</t>
  </si>
  <si>
    <t>Видео</t>
  </si>
  <si>
    <t>Расхлоп</t>
  </si>
  <si>
    <t>ScreenGlide</t>
  </si>
  <si>
    <t>Аудио и радио</t>
  </si>
  <si>
    <t>Интерактивный</t>
  </si>
  <si>
    <t>Интерактивные</t>
  </si>
  <si>
    <t>ПРОЧИЕ НАЦЕНКИ*</t>
  </si>
  <si>
    <t>ГЛАВНАЯ</t>
  </si>
  <si>
    <t>Все страницы, 100%х90</t>
  </si>
  <si>
    <t>Sports.ru</t>
  </si>
  <si>
    <t>Sp</t>
  </si>
  <si>
    <t>ПРАЙС-ЛИСТ SPORTS.RU</t>
  </si>
  <si>
    <t>Префикс</t>
  </si>
  <si>
    <t>Наценка за отсрочку платежа, %</t>
  </si>
  <si>
    <t>Консолидированная скидка, %</t>
  </si>
  <si>
    <t>Скидка за годовое планирование, %</t>
  </si>
  <si>
    <t>ИМЯ</t>
  </si>
  <si>
    <t>ФОРМУЛА ИЛИ ЗНАЧЕНИЕ</t>
  </si>
  <si>
    <t>ПОЛЕ ОЧИЩАЕМОЕ</t>
  </si>
  <si>
    <t>Главная страница</t>
  </si>
  <si>
    <t>ПРАЙС-ЛИСТ WMJ.RU</t>
  </si>
  <si>
    <t>WMJ.ru</t>
  </si>
  <si>
    <t>Wmj</t>
  </si>
  <si>
    <t>1 неделя</t>
  </si>
  <si>
    <t>Специальное предложение - годовая программа</t>
  </si>
  <si>
    <t>Все страницы Newsru.com</t>
  </si>
  <si>
    <t>Россия</t>
  </si>
  <si>
    <t>Москва</t>
  </si>
  <si>
    <t>Санкт-Петербург</t>
  </si>
  <si>
    <t>Все страницы Inopressa.ru+Zagolovki.ru</t>
  </si>
  <si>
    <t>Все страницы Echo.msk.ru</t>
  </si>
  <si>
    <t>ВСЕ СТРАНИЦЫ
кроме главной и главных страниц разделов</t>
  </si>
  <si>
    <t>Возможна настройка таргетинга по разделам - без наценки</t>
  </si>
  <si>
    <t>Пакет "МАМА", 240х400</t>
  </si>
  <si>
    <t>Пакет "МЕДПОРТАЛ + ДОКТОР", 240х400</t>
  </si>
  <si>
    <t>Пакет "Бизнес", 240х400, F ~ 3-5</t>
  </si>
  <si>
    <t>Пакет "Премиум", 240х400, F ~ 3-5</t>
  </si>
  <si>
    <t>Пакет "Лайфстайл", 240х400, F ~ 3-5</t>
  </si>
  <si>
    <t>Пакет "Охват", 240х400, F ~ 3-5</t>
  </si>
  <si>
    <t>Кроме главной страницы</t>
  </si>
  <si>
    <t>Топор</t>
  </si>
  <si>
    <t>Главная, Деньги, Власть, Политика, Новости, Бизнес</t>
  </si>
  <si>
    <t>Главная, Новости, Общество, В мире, Спорт</t>
  </si>
  <si>
    <t>Стиль, Weekend, Культура</t>
  </si>
  <si>
    <t>Таргетинг на раздел</t>
  </si>
  <si>
    <t>Данный баннер обсчитывается по фактическим показам, то есть только тогда, когда пользователь до него доскролил.</t>
  </si>
  <si>
    <t>Таргетинг по IP</t>
  </si>
  <si>
    <t>Кроме перетяжки</t>
  </si>
  <si>
    <t>Таргетинг по разделам</t>
  </si>
  <si>
    <t>Все страницы кроме фотогалерей</t>
  </si>
  <si>
    <t>Бронирование после подтверждения свободности</t>
  </si>
  <si>
    <t>Текстово-графический блок, статика</t>
  </si>
  <si>
    <t>Все страницы сайта,120х600 floater</t>
  </si>
  <si>
    <t>Все страницы каналов Новости, Игры, Форумы</t>
  </si>
  <si>
    <t>Все страницы (кроме минисайтов и миров), шапка сайта + КосмоЧат
Баннер перемещается вслед за скроллингом экрана</t>
  </si>
  <si>
    <t>Новости, Игры, Форумы, 468х60</t>
  </si>
  <si>
    <t>Открутка пакета  - 2 недели.
Баннер обсчитывается по фактическим показам, т.е. если пользователь долистал страницу до баннера.</t>
  </si>
  <si>
    <t>Принцип расчетов размещений, попадающих на неделю между месяцами с разными сезонными коэффициентами:</t>
  </si>
  <si>
    <t>IMHO VI оставляет за собой право на изменение прайс-листов, скидочной политики и пр. без предупреждения. Окончательные цены уточняйте у менеджеров.</t>
  </si>
  <si>
    <t>Цены указаны без учета НДС</t>
  </si>
  <si>
    <t>ЦЕНЫ УКАЗАНЫ БЕЗ УЧЕТА НДС</t>
  </si>
  <si>
    <t>Главная, Пакет "Кино, концерты", 728х90 (динамика без R&amp;F)</t>
  </si>
  <si>
    <t>НОВОСТИ</t>
  </si>
  <si>
    <t>1 неделя. Геотаргетинг - Россия</t>
  </si>
  <si>
    <t>АВТО</t>
  </si>
  <si>
    <t xml:space="preserve">1 неделя. Геотаргетинг - Россия. </t>
  </si>
  <si>
    <t>1 неделя. Геотаргетинг - Россия.</t>
  </si>
  <si>
    <t>Авто, Все страницы, Таргетинг на Россию, 728х90</t>
  </si>
  <si>
    <t>Авто, Все страницы, Таргетинг на Москву, 728х90</t>
  </si>
  <si>
    <t>Авто, Все страницы, Таргетинг на Санкт-Петербург, 728х90</t>
  </si>
  <si>
    <t>1 неделя. Геотаретинг - Москва</t>
  </si>
  <si>
    <t>Авто, Все страницы, Таргетинг на регионы России (кроме Москвы и Санкт-Петербурга), 728х90</t>
  </si>
  <si>
    <t>F ~ 3-4</t>
  </si>
  <si>
    <t>Пакет "Охват 600К", 240х400</t>
  </si>
  <si>
    <t>Пакет "Охват 1000К", 240х400</t>
  </si>
  <si>
    <t>Пакет "Охват 1000К", 100%х90</t>
  </si>
  <si>
    <t>Все страницы Medportal.ru, Doktor.ru, 240х400</t>
  </si>
  <si>
    <t>Все страницы ресурса 2x2tv.ru</t>
  </si>
  <si>
    <t>2x2tv.ru, 600х90</t>
  </si>
  <si>
    <t>2x2tv.ru, 240x400</t>
  </si>
  <si>
    <t>2x2tv.ru, FullScreen</t>
  </si>
  <si>
    <t>Возможен таргетинг по разделам</t>
  </si>
  <si>
    <t>Пакет "Охват 1500К", 240х400</t>
  </si>
  <si>
    <t>Пакет "Охват 3000К", 240х400</t>
  </si>
  <si>
    <t>Пакет "Москва", 240х400</t>
  </si>
  <si>
    <t>Пакет "Питер", 240х400</t>
  </si>
  <si>
    <t>Пакет "Охват 1500К", 1000х90</t>
  </si>
  <si>
    <t>Пакет "Охват 3000К", 1000х90</t>
  </si>
  <si>
    <t>Пакет "Москва", 1000х90</t>
  </si>
  <si>
    <t>Пакет "Питер", 1000х90</t>
  </si>
  <si>
    <t>Пакет "Технологии", 240х400</t>
  </si>
  <si>
    <t>2 недели</t>
  </si>
  <si>
    <t>Пакет "Кино", 240х400</t>
  </si>
  <si>
    <t>Риан. Недвижимость</t>
  </si>
  <si>
    <t>Пакет "Недвижимость", 240х400</t>
  </si>
  <si>
    <t>1 неделя. Riarealty.ru</t>
  </si>
  <si>
    <t>Пакет "Технологии", 1000х90</t>
  </si>
  <si>
    <t>Пакет "Кино", 1000х90</t>
  </si>
  <si>
    <t>Inosmi.ru</t>
  </si>
  <si>
    <t>Все страницы Inosmi.ru</t>
  </si>
  <si>
    <t>Все страницы Inosmi.ru, 240x400</t>
  </si>
  <si>
    <t>Inosmi.ru, Пакет "Охват 1000К", 240x400</t>
  </si>
  <si>
    <t>Inosmi.ru, Пакет "Охват 1000К", 1000x90</t>
  </si>
  <si>
    <t>Пакет "Охват 300К", 100%х90</t>
  </si>
  <si>
    <t>Все страницы кроме Главной</t>
  </si>
  <si>
    <t>ПРАЙС-ЛИСТ RBC.RU</t>
  </si>
  <si>
    <t>ВСЕ БЮДЖЕТЫ И ЦЕНЫ БЕЗ НДС!</t>
  </si>
  <si>
    <t>Скидка, %</t>
  </si>
  <si>
    <t>Комментарий</t>
  </si>
  <si>
    <t>Рекламное агентство</t>
  </si>
  <si>
    <t>Рекламодатель</t>
  </si>
  <si>
    <t>Бренд</t>
  </si>
  <si>
    <t>Название РК</t>
  </si>
  <si>
    <t>Начало РК</t>
  </si>
  <si>
    <t>Окончание РК</t>
  </si>
  <si>
    <t>Бюджет, руб.</t>
  </si>
  <si>
    <t>Площадка</t>
  </si>
  <si>
    <t>Итоговая скидка, %</t>
  </si>
  <si>
    <t>Ручная скидка, %</t>
  </si>
  <si>
    <t>Общий бюджет на IMHO VI, руб.</t>
  </si>
  <si>
    <t>Доля от общего
бюджета, %</t>
  </si>
  <si>
    <t>Общий бюджет по прайсу, руб.</t>
  </si>
  <si>
    <t>Общее кол-во контактов, тыс.</t>
  </si>
  <si>
    <t>Скидка за годовое план-ние, %</t>
  </si>
  <si>
    <t>Итого:</t>
  </si>
  <si>
    <t>Строк</t>
  </si>
  <si>
    <t>Скидочная группа</t>
  </si>
  <si>
    <t>Rbc</t>
  </si>
  <si>
    <t>#</t>
  </si>
  <si>
    <t>Порог</t>
  </si>
  <si>
    <t>Макс. скидка, %</t>
  </si>
  <si>
    <t>Скидка за ГП, %</t>
  </si>
  <si>
    <t>Конс. Скидка, %</t>
  </si>
  <si>
    <t>Доп. скидка плановая, %</t>
  </si>
  <si>
    <t>Скидка плановая, %</t>
  </si>
  <si>
    <t>CPT со скидкой, руб.</t>
  </si>
  <si>
    <t>Цена за ед-цу, руб.</t>
  </si>
  <si>
    <t>Цена со скидкой, руб.</t>
  </si>
  <si>
    <t>Площадка // Раздел, позиция, тип</t>
  </si>
  <si>
    <t>Раздел</t>
  </si>
  <si>
    <t>Формат</t>
  </si>
  <si>
    <t>Тип</t>
  </si>
  <si>
    <t>Контактов за ед-цу, к</t>
  </si>
  <si>
    <t>Гео</t>
  </si>
  <si>
    <t>Частота</t>
  </si>
  <si>
    <t>Сезонный коэф.</t>
  </si>
  <si>
    <t>Комментарий раздела</t>
  </si>
  <si>
    <t>Сезонный коэффициент</t>
  </si>
  <si>
    <t>Сезонный коэффициент (стандарт)</t>
  </si>
  <si>
    <t>Конец</t>
  </si>
  <si>
    <t>Скидки</t>
  </si>
  <si>
    <t>ПорогYa</t>
  </si>
  <si>
    <t>Бюджет по прайсу</t>
  </si>
  <si>
    <t>Цена за ед-цу по прайсу, руб.</t>
  </si>
  <si>
    <t>Стоимость по прайсу, руб.</t>
  </si>
  <si>
    <t>Легенда</t>
  </si>
  <si>
    <t>Кол-во контактов, тыс.</t>
  </si>
  <si>
    <t>Кол-во показов, К</t>
  </si>
  <si>
    <t>End</t>
  </si>
  <si>
    <t>Показов, К</t>
  </si>
  <si>
    <t>Редактировать</t>
  </si>
  <si>
    <t>Нестандарты</t>
  </si>
  <si>
    <t>За категорию бренда</t>
  </si>
  <si>
    <t>Прочие наценки*</t>
  </si>
  <si>
    <t>Сезонные коэффициенты</t>
  </si>
  <si>
    <t>Конкуренты, совместное размещение</t>
  </si>
  <si>
    <t>Прочие  таргетинги</t>
  </si>
  <si>
    <t>Прочие таргетинги</t>
  </si>
  <si>
    <t>* Итоговая скидка по каждой площадке округляется до 0,25%.</t>
  </si>
  <si>
    <t>Контакты</t>
  </si>
  <si>
    <t>Доп. скидка в заявке, %</t>
  </si>
  <si>
    <t>Бюджет заявки прайсовый</t>
  </si>
  <si>
    <t>Скидка в заявке, %</t>
  </si>
  <si>
    <t>Объемка в заявке, %</t>
  </si>
  <si>
    <t>Бюджет плана прайсовый</t>
  </si>
  <si>
    <t>Бюджет плана</t>
  </si>
  <si>
    <t>Сплит</t>
  </si>
  <si>
    <t>Заявка</t>
  </si>
  <si>
    <t>X</t>
  </si>
  <si>
    <t>Z</t>
  </si>
  <si>
    <t>Наценки</t>
  </si>
  <si>
    <t>Количество (пакетов, показов и т.д.)</t>
  </si>
  <si>
    <t>Помесячные наценки</t>
  </si>
  <si>
    <t>К позициям применяется сезонный коэффициент, более точную информацию смотрите в прайс-листе или уточняйте у менеджеров.</t>
  </si>
  <si>
    <t>К отдельным позициям могут применяться ограничения, не учитываемые в текущем расчете.</t>
  </si>
  <si>
    <t>Важная информация</t>
  </si>
  <si>
    <t>Пакеты на ресурсах продаются целым значением.</t>
  </si>
  <si>
    <t>Отсутствие конкурентов на страницах возможно при условии выкупа от 40% трафика.</t>
  </si>
  <si>
    <t>Итоговая скидка*,%</t>
  </si>
  <si>
    <t>Рассчитывается</t>
  </si>
  <si>
    <t>Рекламная кампания</t>
  </si>
  <si>
    <t>Объемная скидка, %</t>
  </si>
  <si>
    <t>Скидка / наценка</t>
  </si>
  <si>
    <t>2. Где необходимо, укажите скидки и необходимость отсрочки платежа.</t>
  </si>
  <si>
    <t>3. Внесите планируемые бюджеты по площадкам.</t>
  </si>
  <si>
    <t>4. Заполните лист "Медиа-Заявка".</t>
  </si>
  <si>
    <t>1. Укажите агентство, рекламодателя, бренд, название РК и сроки РК.</t>
  </si>
  <si>
    <t>Возможный порядок</t>
  </si>
  <si>
    <t>Наценка за отсрочку платежа*, %</t>
  </si>
  <si>
    <t>Цена за ед-цу после скидки, руб.</t>
  </si>
  <si>
    <t>Стоимость после скидки, руб.</t>
  </si>
  <si>
    <t>Бюджет после скидки, руб.</t>
  </si>
  <si>
    <t>CPT после скидки, руб.</t>
  </si>
  <si>
    <t>Скидка за годовое
план-ние, %</t>
  </si>
  <si>
    <r>
      <rPr>
        <b/>
        <sz val="9"/>
        <rFont val="Symbol"/>
        <family val="1"/>
        <charset val="2"/>
      </rPr>
      <t>­</t>
    </r>
    <r>
      <rPr>
        <b/>
        <sz val="9"/>
        <rFont val="Arial"/>
        <family val="2"/>
        <charset val="204"/>
      </rPr>
      <t xml:space="preserve">
Открыть помесяч-ные наценки</t>
    </r>
  </si>
  <si>
    <t>Рекламная кампания (с листа Сплит)</t>
  </si>
  <si>
    <t>CPT с наценкой, руб.</t>
  </si>
  <si>
    <t>Консолидиро-ванная скидка, %</t>
  </si>
  <si>
    <t>БЮДЖЕТЫ, ЦЕНЫ, РАСЧЕТЫ БЕЗ УЧЕТА НДС</t>
  </si>
  <si>
    <t>* К базовому прайс-листу действует наценка за отсрочку платежа +5%.
Наценка не начисляется в случае предоплаты или оплаты размещения не позднее 25 числа месяца оказания услуг.</t>
  </si>
  <si>
    <t>&lt; Название рекламодателя&gt;</t>
  </si>
  <si>
    <t>Упрощенная форма налогообложения.
Возможно размещение формата 240х400</t>
  </si>
  <si>
    <t>Пакет "МАМА", 240х400 (второй экран)</t>
  </si>
  <si>
    <t>&lt; Название РА &gt;</t>
  </si>
  <si>
    <t>Бюджет из сплита</t>
  </si>
  <si>
    <t>Спец. бюджет</t>
  </si>
  <si>
    <t>Спец. бюджет заявки</t>
  </si>
  <si>
    <t>Нед</t>
  </si>
  <si>
    <t>Ед</t>
  </si>
  <si>
    <t>х1000</t>
  </si>
  <si>
    <t>х1</t>
  </si>
  <si>
    <t>* Спец. бюджеты учитываются в скидке но не суммируются с другими бюджетами.</t>
  </si>
  <si>
    <t>Спец. бюджет*, руб.</t>
  </si>
  <si>
    <t>RBC.ru</t>
  </si>
  <si>
    <t>прайс</t>
  </si>
  <si>
    <t>Ед-цы</t>
  </si>
  <si>
    <t>FullScreen, F=1 в сутки</t>
  </si>
  <si>
    <t>Style.rbc.ru, Tata.ru</t>
  </si>
  <si>
    <t>Пакет "Бизнес 1500К", 240х200</t>
  </si>
  <si>
    <t>Пакет "Бизнес 3000К", 240х200</t>
  </si>
  <si>
    <t>Пакет "Авто 1250К", 240х200</t>
  </si>
  <si>
    <t>Пакет "Авто 2500К", 240х200</t>
  </si>
  <si>
    <t>Пакет "Стиль 800К", 240х200</t>
  </si>
  <si>
    <t>Пакет "Стиль 1600К", 240х200</t>
  </si>
  <si>
    <t>Пакет "Охват 3000К", 240х200</t>
  </si>
  <si>
    <t>Пакет "Охват 6000К", 240х200</t>
  </si>
  <si>
    <t xml:space="preserve">RBC.ru, RBCDaily.ru, Quote.ru, Utro.ru </t>
  </si>
  <si>
    <t>RBC.ru, RBCDaily.ru, Quote.ru</t>
  </si>
  <si>
    <t>Autonews.ru, RBC.ru, RBCDaily.ru, Utro.ru</t>
  </si>
  <si>
    <t>Cnews.ru, RBC.ru, RBCDaily.ru, Utro.ru</t>
  </si>
  <si>
    <t>Пакет "Технологии 600К", 240х200</t>
  </si>
  <si>
    <t>Пакет "Технологии 1000К", 240х200</t>
  </si>
  <si>
    <t>Пакет "Бизнес", 240x400</t>
  </si>
  <si>
    <t>Пакет "Москва", 240x400</t>
  </si>
  <si>
    <t>Пакет "Питер", 240x400</t>
  </si>
  <si>
    <t>Кросс-Пакет "Бизнес", 240х400</t>
  </si>
  <si>
    <t>Кросс-Пакет "Охват 3100К", 240x400</t>
  </si>
  <si>
    <t>Кросс-Пакет "Москва", 240x400</t>
  </si>
  <si>
    <t>Кросс-Пакет "Питер", 240x400</t>
  </si>
  <si>
    <t>Пакет "Охват 500К", 240x400</t>
  </si>
  <si>
    <t>Пакет "Охват 1000К", 240x400</t>
  </si>
  <si>
    <t># строк в прайсе</t>
  </si>
  <si>
    <t># строк в заявке</t>
  </si>
  <si>
    <t>Показатели рекламной кампании</t>
  </si>
  <si>
    <t>Да</t>
  </si>
  <si>
    <t>Нет</t>
  </si>
  <si>
    <t>Контактов за ед-цу, К</t>
  </si>
  <si>
    <t>Секунда х 1000 контактов</t>
  </si>
  <si>
    <t>Сек х1000</t>
  </si>
  <si>
    <t>Все страницы, FullScreen</t>
  </si>
  <si>
    <t>* Возможность настройки геотаргетинга в определенном пакете уточняйте у менеджеров ИМХО ВИ</t>
  </si>
  <si>
    <t>Только по внутренним страницам</t>
  </si>
  <si>
    <r>
      <t xml:space="preserve">Возможно размещение форматов 240х200, 240х400, 300х250, 300х400; с наценкой 25% возможно размещение форматов 300х500 и 300х600
</t>
    </r>
    <r>
      <rPr>
        <b/>
        <sz val="10"/>
        <rFont val="Arial"/>
        <family val="2"/>
        <charset val="204"/>
      </rPr>
      <t>WMJ.ru + Passion.ru</t>
    </r>
  </si>
  <si>
    <t>Все страницы Afisha.ru</t>
  </si>
  <si>
    <t>Все страницы Nightparty.ru</t>
  </si>
  <si>
    <t>Пакет "Nightparty", 240х400</t>
  </si>
  <si>
    <t>Nightparty.ru, динамика, 240х400</t>
  </si>
  <si>
    <t>Пакет "Охват 1000К", 704х90</t>
  </si>
  <si>
    <t>Пакет "Москва", 704х90</t>
  </si>
  <si>
    <t>Пакет "Питер", 704х90</t>
  </si>
  <si>
    <t>Пакет "Nightparty", 704х90</t>
  </si>
  <si>
    <t>Nightparty.ru, динамика, 704х90</t>
  </si>
  <si>
    <t>Пакет "Охват 2000К", 704х90</t>
  </si>
  <si>
    <t>Пакет "Охват 1000К", 240х400 (второй экран)</t>
  </si>
  <si>
    <t>Пакет "Москва", 240х400 (второй экран)</t>
  </si>
  <si>
    <t>Пакет "Питер", 240х400 (второй экран)</t>
  </si>
  <si>
    <t>Период размещения - неделя</t>
  </si>
  <si>
    <t>Возможно размещение форматов 300х250, 300х400; с наценкой 25% возможно размещение форматов 300х500, 300х600, 240х200, 240х400.</t>
  </si>
  <si>
    <t>Все страницы Afisha.ru, Nightparty.ru</t>
  </si>
  <si>
    <t>Минимальный заказ - 400К</t>
  </si>
  <si>
    <t>Геотаргетинг</t>
  </si>
  <si>
    <t>Таргетинг по частоте</t>
  </si>
  <si>
    <t>Таргетинг по полу</t>
  </si>
  <si>
    <t>Таргетинг по возрасту</t>
  </si>
  <si>
    <t>Картинка 60х45 + текст 125 символов включая заголовок</t>
  </si>
  <si>
    <t>Все страницы</t>
  </si>
  <si>
    <t>ПРАЙС-ЛИСТ MUZ-TV.RU</t>
  </si>
  <si>
    <t>Muztv</t>
  </si>
  <si>
    <t>Muz-tv.ru</t>
  </si>
  <si>
    <t>ПРАЙС-ЛИСТ MOTOR.RU</t>
  </si>
  <si>
    <t>Motor</t>
  </si>
  <si>
    <t>Motor.ru</t>
  </si>
  <si>
    <t>Пакет "Охват 300К", 240х400</t>
  </si>
  <si>
    <t>Пакет "Охват 500К", 240х400</t>
  </si>
  <si>
    <t>Минимальный заказ - 100К</t>
  </si>
  <si>
    <t>Пакет "Охват 1000К, 100%х90</t>
  </si>
  <si>
    <t>Пакет "Охват 500К", 100%х90</t>
  </si>
  <si>
    <r>
      <t xml:space="preserve">1 неделя. </t>
    </r>
    <r>
      <rPr>
        <b/>
        <sz val="10"/>
        <rFont val="Arial"/>
        <family val="2"/>
        <charset val="204"/>
      </rPr>
      <t>WMJ.ru+ Passion.ru</t>
    </r>
  </si>
  <si>
    <t>Главная, Пакет "1/5 недельной аудитории", 728х90</t>
  </si>
  <si>
    <t>Стоимость уточняйте у менеджеров</t>
  </si>
  <si>
    <t>Перетяжка</t>
  </si>
  <si>
    <t>240х400</t>
  </si>
  <si>
    <t>Некликабельный, интерактивный</t>
  </si>
  <si>
    <t>Flyingscreen</t>
  </si>
  <si>
    <t>240x400</t>
  </si>
  <si>
    <t>По наведению или кнопке</t>
  </si>
  <si>
    <t>Интерактивный, некликабельный</t>
  </si>
  <si>
    <t>Cтоимость уточняйте у менеджера</t>
  </si>
  <si>
    <t>CatFish</t>
  </si>
  <si>
    <t>В зависимости от веса и принципа работы баннера</t>
  </si>
  <si>
    <t>Согласование</t>
  </si>
  <si>
    <t>Некликабельный</t>
  </si>
  <si>
    <t>ScreenGlide, расхлоп</t>
  </si>
  <si>
    <t>Пакет "Охват 500К", 728х90</t>
  </si>
  <si>
    <t>Пакет "Охват 1000К", 728х90</t>
  </si>
  <si>
    <t xml:space="preserve">Кроме зон минисайтов и внутренней почты. </t>
  </si>
  <si>
    <t>Новости, Пакет "Москва", 240х400</t>
  </si>
  <si>
    <t>Новости, Все страницы, Таргетинг на Россию, 240х400</t>
  </si>
  <si>
    <t>Новости, Все страницы, Таргетинг на Санкт-Петербург, 240х400</t>
  </si>
  <si>
    <t>Новости, Все страницы, Таргетинг на регионы России (кроме Москвы и Санкт-Петербурга), 240х400</t>
  </si>
  <si>
    <t>ПРАЙС-ЛИСТ RIA.RU</t>
  </si>
  <si>
    <t>ВСЕ СТРАНИЦЫ RIA.RU</t>
  </si>
  <si>
    <t>Все страницы Ria.ru, 240х400</t>
  </si>
  <si>
    <t>Все страницы Ria.ru, 1000x90</t>
  </si>
  <si>
    <t>Все страницы Ria.ru</t>
  </si>
  <si>
    <t>Все страницы Afisha.ru, Mir.Afisha.ru</t>
  </si>
  <si>
    <t>ГЛАВНАЯ СТРАНИЦА, динамика по сайту</t>
  </si>
  <si>
    <t>Синхрон 240х400 + Перетяжка</t>
  </si>
  <si>
    <t>Пакет "Недвижимость", 960х90</t>
  </si>
  <si>
    <t>1 неделя. Геотаргетинг - Москва</t>
  </si>
  <si>
    <t>Размещение баннера с видео-блоком</t>
  </si>
  <si>
    <t>В разделах: Главная страница</t>
  </si>
  <si>
    <t>Главная страница, 475х300</t>
  </si>
  <si>
    <t>vset</t>
  </si>
  <si>
    <t>VK</t>
  </si>
  <si>
    <t>RIA.ru</t>
  </si>
  <si>
    <t>Внутренние страницы</t>
  </si>
  <si>
    <t>Главная страница, 100%х90 / 300, статика, F=1</t>
  </si>
  <si>
    <t>Внутренние страницы, видеобаннер 240х400/460х400</t>
  </si>
  <si>
    <t>Видеобаннер с расхлопом вправо. Минимальный заказ-  200К</t>
  </si>
  <si>
    <t>Видеобаннер. Минимальный зкакз - 200К</t>
  </si>
  <si>
    <t>Внутренние страницы, видеобаннер 500х300</t>
  </si>
  <si>
    <t>Приложения</t>
  </si>
  <si>
    <t>Flash-баннер при загрузке приложений</t>
  </si>
  <si>
    <t>Пакет "Охват 3000К", 990х90</t>
  </si>
  <si>
    <t>Пакет "Охват 1500К", 990х90</t>
  </si>
  <si>
    <t>Динамика, 990х90</t>
  </si>
  <si>
    <t>Все страницы Ria.ru, Inosmi.ru</t>
  </si>
  <si>
    <t xml:space="preserve">F=1 в сутки. Возможно размещение на любых проектах </t>
  </si>
  <si>
    <t>Прогнозируемое количество показов - 160К/сутки</t>
  </si>
  <si>
    <t>Пакет "Охват 500К", 300х300</t>
  </si>
  <si>
    <t>Пакет "Охват 1000К", 300х300</t>
  </si>
  <si>
    <t>Пакет "Охват 2000К", 300х300</t>
  </si>
  <si>
    <t>Пакет "Охват 2000К", 100%х90</t>
  </si>
  <si>
    <t>Пакет "Охват 500К", 300х300 (второй экран)</t>
  </si>
  <si>
    <t>Пакет "Охват 1000К", 300х300 (второй экран)</t>
  </si>
  <si>
    <t>Пакет "Охват 2000К", 300х300 (второй экран)</t>
  </si>
  <si>
    <t>Пакет "Охват 2000K", 240x400 (Passion.ru + Wmj.ru)</t>
  </si>
  <si>
    <t>Пакет "Охват 2000K", 100%х90 (Passion.ru + Wmj.ru)</t>
  </si>
  <si>
    <t>Главная, Пакет "1/3 недельной аудитории", 728х90</t>
  </si>
  <si>
    <t xml:space="preserve">1 неделя. Только для рекламодателей с кампаниями в категориях Кино, Концерты. </t>
  </si>
  <si>
    <t>Новости, Пакет "Федеральный 2000К", 240x400</t>
  </si>
  <si>
    <t>Новости, Пакет "Федеральный 3500К", 240x400</t>
  </si>
  <si>
    <t>Авто, Пакет "Федеральный 1000К", 728х90</t>
  </si>
  <si>
    <t>"Годовая программа - Главная страница", 728х90</t>
  </si>
  <si>
    <t>Прелоадер 500х500 до 8 секунд, Пакет "Охват 4000К"</t>
  </si>
  <si>
    <t>"Годовая программа - Новости", 240х400</t>
  </si>
  <si>
    <t>"Годовая программа - Авто", 728х90</t>
  </si>
  <si>
    <t>Требуется годовое бронирование. 10 флайтов по 2М показов. Не более 10М показов в период сентября по декабрь. Количество пакетов ограничено.</t>
  </si>
  <si>
    <t>При одновременном заказе таргетинга по полу и возрасту максимальная наценка - 40%</t>
  </si>
  <si>
    <t>Пол+возраст+доход</t>
  </si>
  <si>
    <t>Прелоадер 500х500 до 8 секунд, Пакет "Охват 8000К"</t>
  </si>
  <si>
    <t>* Сезонные коэффициенты применяются автоматически</t>
  </si>
  <si>
    <t>По интересам</t>
  </si>
  <si>
    <t>Тематический, только для пакетов "Охват 500К"</t>
  </si>
  <si>
    <t>Тематический, только для пакетов "500К"</t>
  </si>
  <si>
    <t>Ограничения по размещению рекламы для разных брендов уточняйте у менеджеров ИМХО ВИ или по ссылке.</t>
  </si>
  <si>
    <t>ССЫЛКА НА ПРАВИЛА</t>
  </si>
  <si>
    <t>2 недели.</t>
  </si>
  <si>
    <t>Пакет "Охват 1000К"( Newsru.com) + Пакет "Охват 1000К" (Echo. Msk.ru) +  Пакет "Охват 500К" (Inopressa.ru) + бонус 600К. Бонус входит в пакет</t>
  </si>
  <si>
    <t>Все страницы Newsru.com, Echo.msk.ru, Inopressa.ru</t>
  </si>
  <si>
    <t>Пакет "Бизнес" (Newsru.com) + Пакет "Бизнес" (Echo.msk.ru) + Пакет "Бизнес" (Inopressa.ru) + бонус 250К; 
гео = Россия;
Бонус входит в пакет</t>
  </si>
  <si>
    <t>Пакет "Москва" (Newsru.com) + Пакет "Москва" (Echo.msk.ru) + Пакет "Москва" (Inopressa.ru) + бонус 150К;
Гео = Москва; Бонус входит в пакет</t>
  </si>
  <si>
    <t>Пакет "Питер" (Newsru.com) + Пакет "Питер" (Echo.msk.ru) + бонус 50К; 
Гео = Санкт-Петербург; Бонус входит в пакет</t>
  </si>
  <si>
    <t>Все страницы Newsru.com, Echo.msk.ru</t>
  </si>
  <si>
    <t>Пакет "Новости", Pre-roll 400x300</t>
  </si>
  <si>
    <t>Пакет "Развлечения", Post-roll 400х300</t>
  </si>
  <si>
    <t>Пакет "Развлечения", Pre-roll 400x300</t>
  </si>
  <si>
    <t>F=3 в сутки</t>
  </si>
  <si>
    <t>Главная страница, FullScreen</t>
  </si>
  <si>
    <t>РАЗДЕЛ "АВТО"</t>
  </si>
  <si>
    <t>Все страницы раздела "Авто", 240х400</t>
  </si>
  <si>
    <t>Минимальный заказ - 500К</t>
  </si>
  <si>
    <t>Пакет "Охват 150К", 240x400</t>
  </si>
  <si>
    <t>Все страницы, 970х90</t>
  </si>
  <si>
    <t>ТОЛЬКО ЛИЦЕНЗИОННЫЙ КОНТЕНТ</t>
  </si>
  <si>
    <t>Авто, Пакет "Федеральный 1700К", 728х90</t>
  </si>
  <si>
    <t>Пол+ Возраст</t>
  </si>
  <si>
    <t>Все страницы Afisha-Петербург, Nightparty.ru, Eda.ru</t>
  </si>
  <si>
    <t>Все страницы Afisha-Петербург, Nightparty.ru</t>
  </si>
  <si>
    <t>Мес</t>
  </si>
  <si>
    <t>Видеобаннер</t>
  </si>
  <si>
    <t>Главная сайта, главная Блогов,  728x90</t>
  </si>
  <si>
    <t>Все страницы Блогов, 728x90</t>
  </si>
  <si>
    <t>Все страницы Inosmi.ru, 950x90</t>
  </si>
  <si>
    <t>Все страницы Ria.ru, Inosmi.ru
Для сквозного размещения нужен баннер минимального размера 950х90, растягивающийся по ширине – 100%</t>
  </si>
  <si>
    <t>Все страницы Блогов, 728х90, Пакет "Технологии"</t>
  </si>
  <si>
    <t>Все страницы Блогов, 728х90, Пакет "Авто"</t>
  </si>
  <si>
    <t>Все страницы Блогов, 728х90, Пакет "Связь"</t>
  </si>
  <si>
    <t>Все страницы Блогов, 728х90, Пакет "Женщины"</t>
  </si>
  <si>
    <t>Все страницы Блогов, 728х90, Пакет "Мужчины"</t>
  </si>
  <si>
    <t>Все страницы Блогов, 728х90, Пакет "Молодёжь 18-24"</t>
  </si>
  <si>
    <t>Все страницы Блогов, 240х400, Пакет "Технологии"</t>
  </si>
  <si>
    <t>Все страницы Блогов, 240х400, Пакет "Авто"</t>
  </si>
  <si>
    <t>Все страницы Блогов, 240х400, Пакет "Связь"</t>
  </si>
  <si>
    <t>Все страницы Блогов, 240х400, Пакет "Женщины"</t>
  </si>
  <si>
    <t>Все страницы Блогов, 240х400, Пакет "Мужчины"</t>
  </si>
  <si>
    <t>Все страницы Блогов, 240х400, Пакет "Молодёжь 18-24"</t>
  </si>
  <si>
    <t>Пакет "Тизер 8000К", Текстово-графический блок</t>
  </si>
  <si>
    <t>Пакет "Тизер", Текстово-графический блок</t>
  </si>
  <si>
    <t xml:space="preserve">Почта, Все страницы, 240х400 </t>
  </si>
  <si>
    <t>"Годовая программа - Почта", 240х400</t>
  </si>
  <si>
    <t>Стоимость размещения прочих нестандартных форматов уточняйте у менеджеров ИМХО ВИ</t>
  </si>
  <si>
    <t>Размещении двух и более рекламодателей на одном рекламном материале (за каждого дополнительного рекламодателя)</t>
  </si>
  <si>
    <t>ПРАЙС-ЛИСТ DISNEY.RU</t>
  </si>
  <si>
    <t>Пакет "Охват 1200К", 745х90</t>
  </si>
  <si>
    <t>Пакет "Охват 500К", 745х90</t>
  </si>
  <si>
    <t>Динамика, 745х90</t>
  </si>
  <si>
    <t>Возможно размещение форматов 728х90; 600х90; 730х90</t>
  </si>
  <si>
    <t>Пакет "Охват 500К", 240х400 или 200х300</t>
  </si>
  <si>
    <t>Динамика, 240х400 или 200х300</t>
  </si>
  <si>
    <t>Динамика, 300х250</t>
  </si>
  <si>
    <t>Disney</t>
  </si>
  <si>
    <t>Disney.ru</t>
  </si>
  <si>
    <t>Возможна настройка только суточный частоты</t>
  </si>
  <si>
    <t>Список доступных для таргетирования регионов уточняйте у менеджеров ИМХО ВИ</t>
  </si>
  <si>
    <t>Минимальный заказ: без таргетинга, с таргетингом на Россию или с таргетингом на Москву и МО - 400К за флайт. С иным таргетингом - 125К за флайт.
RF =3/неделя</t>
  </si>
  <si>
    <t>Требуется годовое бронирование. 20 флайтов по 10М показов в неделю. Не более 100М показов в период сентября по декабрь. Количество пакетов ограничено.</t>
  </si>
  <si>
    <t xml:space="preserve"> 1 неделя</t>
  </si>
  <si>
    <t>Newsru.com: Главная страница, разделы "В России", "В мире", "Экономика", Авторские колонки</t>
  </si>
  <si>
    <t>Из 240х400 и 300х250</t>
  </si>
  <si>
    <t>30%/50%</t>
  </si>
  <si>
    <t>Из перетяжки</t>
  </si>
  <si>
    <t>Liveinternet.ru, Статистика сайтов</t>
  </si>
  <si>
    <t>Liveinternet.ru, Cтатистика сайтов, 240х400</t>
  </si>
  <si>
    <t>Минимальный заказ - 500К.
Упрощенная форма налогообложения</t>
  </si>
  <si>
    <t>Прелоадер 500х500 до 8 секунд, Пакет "Женщины"</t>
  </si>
  <si>
    <t>ПРАЙС-ЛИСТ VK.COM</t>
  </si>
  <si>
    <t>VK.com</t>
  </si>
  <si>
    <t>Пакет "Спорт", Post-roll 400x300</t>
  </si>
  <si>
    <t>Пакет "Спорт", Pre-roll 400x300</t>
  </si>
  <si>
    <t>Все страницы Afisha-Москва, Nightparty.ru</t>
  </si>
  <si>
    <t>по запросу</t>
  </si>
  <si>
    <t>Прочие тарггетинги</t>
  </si>
  <si>
    <t>Пакет "Охват 2000К", 780x90 или 990x90</t>
  </si>
  <si>
    <t>Пакет "Охват 2000К", 240x400 или 300х500</t>
  </si>
  <si>
    <t>Пакет "Охват 5000К", 780x90 или 990х90</t>
  </si>
  <si>
    <t>Пакет "Охват 5000K", 240x400 или 300х500</t>
  </si>
  <si>
    <t>Пакет "Охват 8000K", 780x90 или 990х90</t>
  </si>
  <si>
    <t>Пакет "Охват 8000К", 240х400 или 300х500</t>
  </si>
  <si>
    <t>Пакет "Футбол 2000К", 780x90 или 990х90</t>
  </si>
  <si>
    <t>Пакет "Футбол 2000К", 240x400 или 300х500</t>
  </si>
  <si>
    <t>Пакет "Охват 1500К", 1000%х90</t>
  </si>
  <si>
    <t>Страницы дневников, тизер 240х90</t>
  </si>
  <si>
    <t>F ~ 3-4. По запросу доступен пакет меньшего объема</t>
  </si>
  <si>
    <t>Все страницы, 100%х250</t>
  </si>
  <si>
    <t>Пакет "Охват 1000К", 100%х250</t>
  </si>
  <si>
    <t>Настройка социально-демографического таргетинга на  отдельные города России за исключением Москвы и городов Московской области  только при условии минимального заказа– 250 000 рублей с продолжительностью размещения – 1 неделя</t>
  </si>
  <si>
    <t>Действующие условия размещения на проектах Яндекса просьба уточнять на официальном сайте или у менеджеров IMHO VI:</t>
  </si>
  <si>
    <t>Прайс-лист</t>
  </si>
  <si>
    <t>Требования к рекламным материалам</t>
  </si>
  <si>
    <t>Правила размещения рекламных материалов</t>
  </si>
  <si>
    <t>Sport.rbc.ru, RBC.ru, RBCdaily.ru, Utro.ru</t>
  </si>
  <si>
    <t>Пакет "Спорт 1250К", 240х200</t>
  </si>
  <si>
    <t>Пакет "Спорт 2500К", 240х200</t>
  </si>
  <si>
    <t>СЧИТАЛКА 2013: ПО ПЛОЩАДКАМ</t>
  </si>
  <si>
    <t>СЧИТАЛКА 2013: ПО ПОЗИЦИЯМ</t>
  </si>
  <si>
    <t>Наценка при размещении двух и более рекламодателей на одном рекламном материале: +50% к прайс-листу (за каждого дополнительного рекламодателя)</t>
  </si>
  <si>
    <t>ПРАЙС-ЛИСТ AVITO.RU</t>
  </si>
  <si>
    <t>Avito</t>
  </si>
  <si>
    <t>Avito.ru</t>
  </si>
  <si>
    <t>Пакет "Федеральный 5000К", 1000х120</t>
  </si>
  <si>
    <t>Динамика с таргетингом на Москву, 1000х120</t>
  </si>
  <si>
    <t>1 неделя, F=3 в сутки</t>
  </si>
  <si>
    <t>Динамика с таргетингом на Санкт-Петербург, 1000х120</t>
  </si>
  <si>
    <t>Годовая программа, 1000х120</t>
  </si>
  <si>
    <t>Пакет "Федеральный 12 000К",1000х120</t>
  </si>
  <si>
    <r>
      <t xml:space="preserve">F=3 в сутки. 10 флайтов по 20М показов. Не более 80М показов в период с сентября по декабрь. Количество пакетов ограничено. </t>
    </r>
    <r>
      <rPr>
        <b/>
        <sz val="10"/>
        <rFont val="Arial"/>
        <family val="2"/>
        <charset val="204"/>
      </rPr>
      <t>Требуется годовое бронирование.</t>
    </r>
  </si>
  <si>
    <t>F=1 в сутки, Минимальный заказ - 500К</t>
  </si>
  <si>
    <t>Расхлоп/ScreenGlide 1000х120 до 1000х350</t>
  </si>
  <si>
    <t>F=3 в сутки, Минимальный заказ - 500К</t>
  </si>
  <si>
    <t>Частота (&lt;3)</t>
  </si>
  <si>
    <t>География</t>
  </si>
  <si>
    <t>Лекарства (безрецептурные)</t>
  </si>
  <si>
    <t>Интерактивные баннеры</t>
  </si>
  <si>
    <t>Транспорт (Авто)</t>
  </si>
  <si>
    <t>Личные вещи (Одежда, Обувь, Украшения, Детские товары)</t>
  </si>
  <si>
    <t>Для дома и дачи</t>
  </si>
  <si>
    <t>Бытовая электроника (Компьютеры, Телефоны)</t>
  </si>
  <si>
    <t>Недвижимость</t>
  </si>
  <si>
    <t>Животные</t>
  </si>
  <si>
    <t>Хобби и отдых</t>
  </si>
  <si>
    <t>Работа и бизнес</t>
  </si>
  <si>
    <t xml:space="preserve">Весь сайт с приоритетом по  отдельным страницам </t>
  </si>
  <si>
    <r>
      <rPr>
        <b/>
        <sz val="10"/>
        <rFont val="Arial"/>
        <family val="2"/>
        <charset val="204"/>
      </rPr>
      <t>Размещение по всему сайту с приоритетом по страницам:</t>
    </r>
    <r>
      <rPr>
        <sz val="10"/>
        <rFont val="Arial"/>
        <family val="2"/>
        <charset val="204"/>
      </rPr>
      <t xml:space="preserve"> Карта (Главная страница), Поиск по всем категориям, Поиск по категориям</t>
    </r>
  </si>
  <si>
    <t>ПРАЙС-ЛИСТ RUSNOVOSTI.RU</t>
  </si>
  <si>
    <t>Динамика, 240х400</t>
  </si>
  <si>
    <t>rusnovosti</t>
  </si>
  <si>
    <t>Rusnovosti.ru</t>
  </si>
  <si>
    <t>Все страницы Muz-tv.ru, U-topmodel.ru, U-tv.ru, Clipyou.ru</t>
  </si>
  <si>
    <t>Пакет "Охват 800К", 100%х90, F ~ 3-5</t>
  </si>
  <si>
    <t>Пакет "Охват 1200К", 240х400, F ~ 3-5</t>
  </si>
  <si>
    <t>Пакет "Охват 1800К", 240х400, F ~ 3-5</t>
  </si>
  <si>
    <t>Пакет "Охват 1800К", 100%x90, F ~ 3-5</t>
  </si>
  <si>
    <t>Пакет "Охват 800К", 240x400, F ~ 3-5</t>
  </si>
  <si>
    <t>Rich-media форматы: AdRime Pushdown, FloorAd, SuperExpandable</t>
  </si>
  <si>
    <t>Пакет "Охват 5000К", 1000х90</t>
  </si>
  <si>
    <t>Пакет "Охват 5000К", 240х400</t>
  </si>
  <si>
    <t>Наука, Digit.ru</t>
  </si>
  <si>
    <t>Культура: Искусство, Кино, Театр, Шоу-бизнес, Мода, Weekend</t>
  </si>
  <si>
    <t>Все страницы Ria.ru, 1000x270, динамика</t>
  </si>
  <si>
    <t>ГЛАВНАЯ СТРАНИЦА RIA.RU</t>
  </si>
  <si>
    <t>Главная страница Ria.ru, 1000x270, статика, ~ Неделя</t>
  </si>
  <si>
    <t>Главная страница Ria.ru, 1000x270, статика, ~ 3 дня</t>
  </si>
  <si>
    <t>Все страницы Inosmi.ru, 950x270</t>
  </si>
  <si>
    <t xml:space="preserve">ПРАЙС-ЛИСТ ВИДЕОСЕТЬ </t>
  </si>
  <si>
    <t>Видеосеть</t>
  </si>
  <si>
    <t>F=5 в сутки</t>
  </si>
  <si>
    <t>Пакет "Охват 3500К", Multi-roll 400x300</t>
  </si>
  <si>
    <t>Пакет "Охват 2500К", Multi-roll 400x300</t>
  </si>
  <si>
    <t>Пакет "Новости", Post-roll 400х300</t>
  </si>
  <si>
    <t>SovSport.ru, Sport-Express.ru, Russia2.tv и т.д.</t>
  </si>
  <si>
    <t>Пакет "Женщины", Pre-roll 400x300</t>
  </si>
  <si>
    <t>Пакет "Женщины", Post-roll 400x300</t>
  </si>
  <si>
    <t>Пакет "Мужчины", Pre-roll 400x300</t>
  </si>
  <si>
    <t>Пакет "Мужчины", Post-roll 400x300</t>
  </si>
  <si>
    <t>Требуется годовое бронирование. 15 флайтов по ~6,5М показов. Настройки по частоте, полу и возрасту включены. Не более 40% показов в период с сентября по декабрь. Количество пакетов ограничено.</t>
  </si>
  <si>
    <t>Выбор сайта внутри сети</t>
  </si>
  <si>
    <t>Частота менее F=5 в сутки</t>
  </si>
  <si>
    <t>Пол и возраст</t>
  </si>
  <si>
    <t>АФИША &amp; МУЗЫКА</t>
  </si>
  <si>
    <t>Афиша &amp; Музыка, Пакет "Москва", 240х400</t>
  </si>
  <si>
    <t>Афиша &amp; Музыка, Пакет "Санкт-Петербург", 240х400</t>
  </si>
  <si>
    <t>Афиша &amp; Музыка, Пакет "Федеральный 2000К", 240x400</t>
  </si>
  <si>
    <t>Настройка по ограничению частоты показов только RF=3/неделя крутилкой сайта. 
Минимальный заказ - 600К за флайт</t>
  </si>
  <si>
    <t>Настройка по ограничению частоты показов  только RF=3/неделя крутилкой сайта. 
Минимальный заказ - 125К за флайт</t>
  </si>
  <si>
    <t>Настройка по ограничению частоты показоволько RF=3/неделя крутилкой сайта. 
Минимальный заказ - 125К за флайт</t>
  </si>
  <si>
    <t>Настройка по ограничению частоты показов  только RF=3/неделя крутилкой сайта. 
Минимальный заказ - 300К за флайт</t>
  </si>
  <si>
    <t>Настройка по ограничению частоты показов  только RF=3/неделя крутилкой сайта. 
Минимальный заказ - 200К за флайт</t>
  </si>
  <si>
    <t>Настройка по ограничению частоты показов только RF=3/неделя крутилкой сайта. 
Минимальный заказ - 100К за флайт</t>
  </si>
  <si>
    <t>Требуется годовое бронирование. 15 флайтов по 60М показов в неделю. Не более 300М показов в период сентября по декабрь. Количество пакетов ограничено.</t>
  </si>
  <si>
    <t>Требуется годовое бронирование. 15 флайтов по 6М показов. Не более 36М показов в период сентября по декабрь. Количество пакетов ограничено.</t>
  </si>
  <si>
    <t>FullScreen, F=1 в неделю</t>
  </si>
  <si>
    <t>1tv.ru, Ivi.ru, Vesti.ru, Zoomby.ru и др. площадки</t>
  </si>
  <si>
    <t>1tv.ru, Afisha.ru, Ivi.ru, Zoomby.ru и др. площадки</t>
  </si>
  <si>
    <t>Таргетинг по разделу и контенту</t>
  </si>
  <si>
    <t>Пакет "Охват 800К", 200х600/ 240x400</t>
  </si>
  <si>
    <t>Пакет "Охват 1500К", 200х600/ 240x400</t>
  </si>
  <si>
    <t>Главная страница, FullScreen, F=1 в сутки</t>
  </si>
  <si>
    <t>Упрощенная форма налогообложения. 
Обязательно наличие кнопки "Закрыть".</t>
  </si>
  <si>
    <t xml:space="preserve"> Ria.ru, Vesti.ru и др. площадки</t>
  </si>
  <si>
    <t>ПРАЙС-ЛИСТ 101.ru</t>
  </si>
  <si>
    <t>Все страницы 101.ru</t>
  </si>
  <si>
    <t>Все страницы, 240x400, динамика</t>
  </si>
  <si>
    <t>Все страницы 101.ru, energyfm.ru</t>
  </si>
  <si>
    <t>Цена действительна для размещения на energyfm.ru</t>
  </si>
  <si>
    <t>Пакет "Охват 2000К", 240х400</t>
  </si>
  <si>
    <t>Все страницы, 600х90/100%х90 , динамика</t>
  </si>
  <si>
    <t>Пакет "Охват 2000К", 600х90/100%х90</t>
  </si>
  <si>
    <t>Sto</t>
  </si>
  <si>
    <t>101.ru</t>
  </si>
  <si>
    <t>Соц-дем таргетинг</t>
  </si>
  <si>
    <t>Поведенческий таргетинг</t>
  </si>
  <si>
    <t>Light TV Viewers</t>
  </si>
  <si>
    <t>Таргетинг по интересам</t>
  </si>
  <si>
    <t>B2B</t>
  </si>
  <si>
    <t>Авто</t>
  </si>
  <si>
    <t>Здоровье</t>
  </si>
  <si>
    <t>Кино</t>
  </si>
  <si>
    <t>Кулинария</t>
  </si>
  <si>
    <t>Мобильная связь и интернет</t>
  </si>
  <si>
    <t>Обустройство</t>
  </si>
  <si>
    <t>Семья</t>
  </si>
  <si>
    <t>Туризм</t>
  </si>
  <si>
    <t>Финансы</t>
  </si>
  <si>
    <t>Фото</t>
  </si>
  <si>
    <t>Применение таргетинга возможно только с геонацеливанием на Россию</t>
  </si>
  <si>
    <t>Баннер с видео-блоком</t>
  </si>
  <si>
    <t>Не более 2-х пакетов "1/5 недельной аудитории", 2-х пакетов "1/3 недельной аудитории" и 1 пакета "Кино, Концерты" в месяц</t>
  </si>
  <si>
    <t>Специальное предложение - Годовая программа</t>
  </si>
  <si>
    <t>Годовая программа, 240х200</t>
  </si>
  <si>
    <t>Cпециальное предложение "Годовая программа", Multi-roll</t>
  </si>
  <si>
    <t>Продолжительность роликов</t>
  </si>
  <si>
    <t>Без наценки</t>
  </si>
  <si>
    <r>
      <t xml:space="preserve">Pre-roll (Mid-; Pause-roll) </t>
    </r>
    <r>
      <rPr>
        <b/>
        <sz val="10"/>
        <rFont val="Arial"/>
        <family val="2"/>
        <charset val="204"/>
      </rPr>
      <t>до 15 секунд</t>
    </r>
  </si>
  <si>
    <r>
      <t xml:space="preserve">Pre-roll (Mid-; Pause-roll) </t>
    </r>
    <r>
      <rPr>
        <b/>
        <sz val="10"/>
        <rFont val="Arial"/>
        <family val="2"/>
        <charset val="204"/>
      </rPr>
      <t>до 20 секунд</t>
    </r>
  </si>
  <si>
    <r>
      <t xml:space="preserve">Pre-roll (Mid-; Pause-roll) </t>
    </r>
    <r>
      <rPr>
        <b/>
        <sz val="10"/>
        <rFont val="Arial"/>
        <family val="2"/>
        <charset val="204"/>
      </rPr>
      <t>до 30 секунд</t>
    </r>
  </si>
  <si>
    <r>
      <t xml:space="preserve">Post-roll </t>
    </r>
    <r>
      <rPr>
        <b/>
        <sz val="10"/>
        <rFont val="Arial"/>
        <family val="2"/>
        <charset val="204"/>
      </rPr>
      <t>до 30 секунд</t>
    </r>
  </si>
  <si>
    <t>Хронометраж Pre-roll на 1tv.ru - не более 20 секунд</t>
  </si>
  <si>
    <r>
      <t xml:space="preserve">Предложение действует для клиентов категории FMCG, фармацевтических кампаний и крупного ритейла. Требуется годовое бронирование. 20 флайтов по 7,5М показов в неделю. Кол-во и размер флайтов - по согласованию с площадкой. Не более 45М показов в период сентября по декабрь. Сезонные коэффициенты не распространяются. Количество пакетов ограничено. </t>
    </r>
    <r>
      <rPr>
        <b/>
        <sz val="10"/>
        <color rgb="FFFF0000"/>
        <rFont val="Arial"/>
        <family val="2"/>
        <charset val="204"/>
      </rPr>
      <t>На годовой пакет действует максимальная скидка - 50%</t>
    </r>
  </si>
  <si>
    <t xml:space="preserve">Light TV Viewers + Баннер с видео-блоком </t>
  </si>
  <si>
    <t>Возможно на Главной странице</t>
  </si>
  <si>
    <t>Light Tv Viewers + таргетинг по географии</t>
  </si>
  <si>
    <t>Только по согласованию, в зависимости от статистики по конкретным городам</t>
  </si>
  <si>
    <t>Newsru.com, Vesti.ru и др. площадки</t>
  </si>
  <si>
    <t>Возможно размещение формата 990х250, наценка 75%. F=1 в сутки</t>
  </si>
  <si>
    <t>Eda.ru</t>
  </si>
  <si>
    <t>Aфиша-Еда, все страницы, динамика 240х400</t>
  </si>
  <si>
    <t>Mir.Afisha.ru</t>
  </si>
  <si>
    <t>Афиша-Мир, все страницы, динамика, 240х400</t>
  </si>
  <si>
    <t>Афиша-Мир, все страницы, динамика, 240х400 (второй экран)</t>
  </si>
  <si>
    <t>Все страницы Afisha.ru, Nightparty.ru, Eda.ru, Mir.Afisha.ru</t>
  </si>
  <si>
    <t>По разделам. Исключение из пакета более одной площадки</t>
  </si>
  <si>
    <t>Все страницы, Синхрон 240х400+970х90</t>
  </si>
  <si>
    <t>Динамика, заказ от 2,1 до 4,9М, 780х90 или 990х90</t>
  </si>
  <si>
    <t>Период размещения - 1 неделя</t>
  </si>
  <si>
    <t>Динамика, заказ от 2,1 до 4,9М, 240х400 или 300х500</t>
  </si>
  <si>
    <t>Динамика, заказ от 2,1 до 4,9М, 460х200</t>
  </si>
  <si>
    <t>Пакет "Охват 2000K", 460х200</t>
  </si>
  <si>
    <t>Пакет "Охват 8000K", 460х200</t>
  </si>
  <si>
    <t>Пакет "Охват 5000K", 460х200</t>
  </si>
  <si>
    <t>Все внутренние страницы Disney.ru, Baby.Disney.ru, Marvel.com.ru</t>
  </si>
  <si>
    <t>На Ivi.ru размещается формат Multi-roll в любых пакетах</t>
  </si>
  <si>
    <t>КАРТЫ И ПРОБКИ</t>
  </si>
  <si>
    <t>Карты и Пробки, Главная страница, 240х400</t>
  </si>
  <si>
    <t>Возможен ИЛИ соц-дем таргетинг ИЛИ поведенческий таргетинг ИЛИ таргетинг по интересам</t>
  </si>
  <si>
    <t>Минимальный заказ: без таргетинга, с таргетингом на Россию или с таргетингом на Москву и МО - 500К за флайт. С иным таргетингом - 100К за флайт.</t>
  </si>
  <si>
    <t>МАРКЕТ</t>
  </si>
  <si>
    <t>Маркет, Первая страница, 200х300</t>
  </si>
  <si>
    <t>Минимальный заказ - 250К за флайт</t>
  </si>
  <si>
    <t>Маркет, Страницы каталога, 728х90</t>
  </si>
  <si>
    <t>Минимальный заказ - 250К за флайт. Возможен таргетинг на разделы каталога (включено в стоимость)</t>
  </si>
  <si>
    <t>Таргетинг по разделам каталога (для проекта Маркет)</t>
  </si>
  <si>
    <t>Бытовая техника</t>
  </si>
  <si>
    <t>Компьютеры</t>
  </si>
  <si>
    <t>Электроника и фото</t>
  </si>
  <si>
    <t>Телефоны</t>
  </si>
  <si>
    <t>Маркет</t>
  </si>
  <si>
    <t>ПОГОДА</t>
  </si>
  <si>
    <t>Погода, Все страницы, Таргетинг на Россию, 300х250</t>
  </si>
  <si>
    <t>Возможно на проектах: Главная страница, Почта, Погода, Ретаргетинговая сеть (без наценки!)</t>
  </si>
  <si>
    <t>Погода, Все страницы, Таргетинг на Москву, 300х250</t>
  </si>
  <si>
    <t>Погода, Все страницы, Таргетинг на Санкт-Петербург, 300х250</t>
  </si>
  <si>
    <t>Погода, Все страницы, Таргетинг на регионы России (кроме Москвы и Санкт-Петербурга), 300х250</t>
  </si>
  <si>
    <t>Почта, Погода</t>
  </si>
  <si>
    <t>НЕДВИЖИМОСТЬ</t>
  </si>
  <si>
    <t>Недвижимость, Все страницы, 728х90</t>
  </si>
  <si>
    <t xml:space="preserve">Минимальный заказ - 200К за флайт. </t>
  </si>
  <si>
    <t>УСЛУГИ</t>
  </si>
  <si>
    <t>Услуги, Все страницы, 240х400</t>
  </si>
  <si>
    <t>Таргетинг по разделам сервиса (для проекта Услуги)</t>
  </si>
  <si>
    <t>Минимальный заказ - 250К за флайт. Возможен таргетинг на разделы сервиса (включено в стоимость, минимальный заказ - 50К)</t>
  </si>
  <si>
    <t>Автокредиты</t>
  </si>
  <si>
    <t>Депозиты</t>
  </si>
  <si>
    <t>Ипотека</t>
  </si>
  <si>
    <t>Потребительские кредиты</t>
  </si>
  <si>
    <t>Услуги</t>
  </si>
  <si>
    <t>РАСПИСАНИЯ</t>
  </si>
  <si>
    <t>Расписания, Пакет "Авиа", 728х90</t>
  </si>
  <si>
    <t>Расписания, Пакет "Ж/д", 728х90</t>
  </si>
  <si>
    <t>Расписания, Все страницы кроме справочной информации, 728х90</t>
  </si>
  <si>
    <t>Минимальный заказ: без таргетинга, с таргетингом на Россию или с таргетингом на Москву и МО - 250К за флайт. С иным таргетингом - 100К за флайт.</t>
  </si>
  <si>
    <t>РАБОТА</t>
  </si>
  <si>
    <t>Работа, Первая страница, 300х250</t>
  </si>
  <si>
    <t>ВИДЕОСЕТЬ YANDEX.RU</t>
  </si>
  <si>
    <t>ВидеоСеть Яндекс, Видео и Телепрограмма, Видеобаннер 300х250 и заглушка 300х250</t>
  </si>
  <si>
    <t xml:space="preserve">АУДИТОРНАЯ СЕТЬ </t>
  </si>
  <si>
    <t>Аудиторная Сеть, 300х250 + 728х90 (предоставляются материалы всех форматов)</t>
  </si>
  <si>
    <t>Минимальный заказ - 21 000руб.с учётом НДС</t>
  </si>
  <si>
    <t>РЕТАРГЕТИНГОВАЯ СЕТЬ</t>
  </si>
  <si>
    <t>Ретаргетинговая Сеть, 300х250+240х400+728х90 (материалы всех форматов!)</t>
  </si>
  <si>
    <t>Ретаргетинговая Сеть:</t>
  </si>
  <si>
    <t xml:space="preserve"> Для поискового ретаргетинга возможна настройка показов по следующим тематикам:</t>
  </si>
  <si>
    <t>Категория</t>
  </si>
  <si>
    <t>Тематика</t>
  </si>
  <si>
    <t>Аудио, видео, фото</t>
  </si>
  <si>
    <t>Аудиотехника // Телевизоры, домашние кинотеатры, DVD и Blue-ray плееры // Фото и видеокамеры</t>
  </si>
  <si>
    <t>Сотовые телефоны</t>
  </si>
  <si>
    <t>Крупная бытовая кухонная техника //  Бытовая техника для дома // Мелкая бытовая кухонная техника // Техника для индивидуального ухода // Климатическое оборудование для дома</t>
  </si>
  <si>
    <t>Телеком</t>
  </si>
  <si>
    <t>Мобильная связь // Доступ в Интернет</t>
  </si>
  <si>
    <t>Офисная техника</t>
  </si>
  <si>
    <t>Компьютеры и ноутбуки // Периферийные устройства</t>
  </si>
  <si>
    <t>Авто. Премиум класс // Авто. Средний класс // Авто. Эконом класс // Шины, диски</t>
  </si>
  <si>
    <t>Материнство</t>
  </si>
  <si>
    <t>Товары для малышей // Детская одежда и обувь</t>
  </si>
  <si>
    <t>Мебель</t>
  </si>
  <si>
    <t>Одежда и обувь</t>
  </si>
  <si>
    <t>Одежда
Обувь</t>
  </si>
  <si>
    <t>Спорт</t>
  </si>
  <si>
    <t>Косметика и парфюмерия</t>
  </si>
  <si>
    <t>Дача, сад и огород</t>
  </si>
  <si>
    <t>Премиум класс</t>
  </si>
  <si>
    <t>Развлечения</t>
  </si>
  <si>
    <t>Кино // Театр и концерты</t>
  </si>
  <si>
    <t xml:space="preserve">Домашние животные </t>
  </si>
  <si>
    <t>Кошки // Собаки</t>
  </si>
  <si>
    <t>Азия // Америка // Африка // Европа // Туризм, общий // Гостиницы, отели</t>
  </si>
  <si>
    <t>Страхование</t>
  </si>
  <si>
    <t>Автострахование</t>
  </si>
  <si>
    <t>Обучение</t>
  </si>
  <si>
    <t>Английский язык</t>
  </si>
  <si>
    <t>Лекарственные препараты</t>
  </si>
  <si>
    <t>Тематика по выбору рекламодателя (по согласованию в площадкой)</t>
  </si>
  <si>
    <t xml:space="preserve">Для поведенческого ретаргетинга: </t>
  </si>
  <si>
    <t>Сервис</t>
  </si>
  <si>
    <t>Раздел сервиса</t>
  </si>
  <si>
    <t>Яндекс. Маркет</t>
  </si>
  <si>
    <t>Телевизоры, домашние кинотеатры, DVD и Blu-ray плееры
 Аудиотехника
 Фото и видео
 Компьютерная техника
 Ноутбуки и планшеты
 Сотовые телефоны и гарнитура
 Крупная бытовая техника для кухни
 Мелкая бытовая техника для кухни
 Бытовая техника для дома и индивидуального ухода
 Сантехника строительство и ремонт
 Климатическое оборудование
 Детские товары
 Спортивные товары
 Автоаксессуары, аудио-видео, навигация
 Автошины, диски
 Женская одежда и обувь
 Мужская одежда и обувь
 Детская одежда и обувь
 Авто, мото
 Бытовая техника
 Все для дома и дачи
 Компьютеры
 Мебель
 Одежда, обувь и аксессуары
 Спортивные товары
 Строительство и ремонт
 Телефоны
 Товары для детей
 Электроника и фото</t>
  </si>
  <si>
    <t>Яндекс.Авто</t>
  </si>
  <si>
    <t xml:space="preserve"> Эконом класс
 Средний класс
 Премиум класс
 Внедорожники</t>
  </si>
  <si>
    <t>Яндекс.Недвижимость</t>
  </si>
  <si>
    <t>Покупка
Аренда</t>
  </si>
  <si>
    <t>Яндекс.Новости</t>
  </si>
  <si>
    <t>Котировки</t>
  </si>
  <si>
    <t>Яндекс.Услуги</t>
  </si>
  <si>
    <t>Кредитование</t>
  </si>
  <si>
    <t>Автокредит // Банковские вклады // Потребительские кредиты и кредитные карты // Ипотека //  Кредит на бизнес //  Форекс // Оплата услуг</t>
  </si>
  <si>
    <r>
      <t xml:space="preserve">Показ рекламных материалов на выбор рекламодателя: пользователям, ранее посещавшим веб-ресурсы рекламодателя, указанные рекламодателем при заказе услуг (определение таких пользователей производится с помощью кода счетчика Яндекс.Метрики, установленного на данных веб-ресурсах рекламодателя </t>
    </r>
    <r>
      <rPr>
        <b/>
        <u/>
        <sz val="11"/>
        <rFont val="Arial"/>
        <family val="2"/>
        <charset val="204"/>
      </rPr>
      <t>или</t>
    </r>
    <r>
      <rPr>
        <u/>
        <sz val="10"/>
        <rFont val="Arial"/>
        <family val="2"/>
        <charset val="204"/>
      </rPr>
      <t xml:space="preserve"> </t>
    </r>
    <r>
      <rPr>
        <sz val="10"/>
        <rFont val="Arial"/>
        <family val="2"/>
        <charset val="204"/>
      </rPr>
      <t>пользователям, ранее посещавшим следующие разделы сервисов Яндекса :</t>
    </r>
  </si>
  <si>
    <t>Погода, Работа, Телепрограмма- 300х250; Открытки, Словари, Расписания, Фотки - 728х90. Настройка по ограничению частоты показов только RF=3/неделя крутилкой сайта.  Минимальный заказ - 21 000 руб. с учётом НДС., количество показов должно быть кратно 1000.</t>
  </si>
  <si>
    <t>Минимальный заказ - 125К за флайт</t>
  </si>
  <si>
    <t>Минимальный заказ - 30К за флайт</t>
  </si>
  <si>
    <t>Friday</t>
  </si>
  <si>
    <t>Friday.ru</t>
  </si>
  <si>
    <t>ПРАЙС-ЛИСТ FRIDAY.RU</t>
  </si>
  <si>
    <t>Friday.ru, 240x400, динамика</t>
  </si>
  <si>
    <t>Все страницы ресурса Friday.ru</t>
  </si>
  <si>
    <t>Friday.ru, 980х120, динамика</t>
  </si>
  <si>
    <t>Все страницы Friday.ru</t>
  </si>
  <si>
    <t>Friday.ru, BackScreen 300х250</t>
  </si>
  <si>
    <t>Friday.ru, Rich Media, 300х300</t>
  </si>
  <si>
    <t>Friday.ru, FullScreen</t>
  </si>
  <si>
    <t>Пакет "Охват 600К", 300х500</t>
  </si>
  <si>
    <t>Пакет "Охват 1000К", 300х500</t>
  </si>
  <si>
    <t>Все страницы, 300х500</t>
  </si>
  <si>
    <t>См.уточнения</t>
  </si>
  <si>
    <t>См. уточнения</t>
  </si>
  <si>
    <t>Таргетинг по географии</t>
  </si>
  <si>
    <t>Вся Россия</t>
  </si>
  <si>
    <t>Выбранные регионы (кроме Москвы и МО)</t>
  </si>
  <si>
    <t>Москва и МО</t>
  </si>
  <si>
    <t>F=5/cутки и более</t>
  </si>
  <si>
    <t>Менее F=5/сутки</t>
  </si>
  <si>
    <t>Установка частоты на кампанию/неделю/ месяц</t>
  </si>
  <si>
    <t>Все разделы кроме "Футбол" и "Главная страница"</t>
  </si>
  <si>
    <t>"Футбол"</t>
  </si>
  <si>
    <t>Пакет "МАМА", 100%х90</t>
  </si>
  <si>
    <t>Flash-баннер при загрузке приложений. Таргетинг по возрасту не применяется.</t>
  </si>
  <si>
    <t xml:space="preserve">РБК, РБКdaily.ru, РБКQuote, РБКстиль, Autonews.ru, Cnews.ru Utro.ru, Tata.ru </t>
  </si>
  <si>
    <t>Пакет "Женщины", 240х200</t>
  </si>
  <si>
    <t>Таргетинг на женщин, возможна верификация пикселем TNS</t>
  </si>
  <si>
    <t>Частота F&gt;5/сутки без наценок</t>
  </si>
  <si>
    <t>Наценка за частоту только при F&lt;3/сутки</t>
  </si>
  <si>
    <t>Видеобаннер с потоковым видео</t>
  </si>
  <si>
    <t>Таргетинг на Россию - без наценок</t>
  </si>
  <si>
    <t>По согласованию</t>
  </si>
  <si>
    <t>Потоковое видео</t>
  </si>
  <si>
    <t>По дням недели</t>
  </si>
  <si>
    <t>RiaRealty.ru, 1000x270, статика</t>
  </si>
  <si>
    <r>
      <t xml:space="preserve">F=3 в сутки, Минимальный заказ - 1000К, </t>
    </r>
    <r>
      <rPr>
        <b/>
        <sz val="10"/>
        <rFont val="Arial"/>
        <family val="2"/>
        <charset val="204"/>
      </rPr>
      <t xml:space="preserve">список доступных для таргетинга разделов см. ниже (в данном пакете без наценок)**. </t>
    </r>
    <r>
      <rPr>
        <sz val="10"/>
        <rFont val="Arial"/>
        <family val="2"/>
        <charset val="204"/>
      </rPr>
      <t>Геотаргетинг возможен в случае соблюдения минимального заказа</t>
    </r>
  </si>
  <si>
    <t>Пакет "Тематический"(выбор раздела без наценок), 1000х120</t>
  </si>
  <si>
    <t>**Доступные для таргетирования разделы:</t>
  </si>
  <si>
    <t>Допускается таргетирование по подразделам при соблюдении требования минимального заказа и сроков открутки</t>
  </si>
  <si>
    <t>Возможно на проектах: Почта, Карты и Пробки, Погода, Аудиторная Сеть (сеть без наценок)</t>
  </si>
  <si>
    <t>Настраивается только суточная частота!</t>
  </si>
  <si>
    <t>F=5 в сутки; таргетинг тематический, по жанру контента</t>
  </si>
  <si>
    <t>ПОПУЛЯРНЫЕ ТАРГЕТИНГИ</t>
  </si>
  <si>
    <t>Соц-дем таргетинг, 728х90+240х400+300х250, динамика</t>
  </si>
  <si>
    <t>Минимальный заказ - 50 000 руб.(без НДС), RF=3/неделя</t>
  </si>
  <si>
    <t>Таргетинг по интересам, 728х90+240х400+300х250, динамика</t>
  </si>
  <si>
    <t>СКИДКИ И СЕЗОННЫЕ КОЭФФИЦИЕНТЫ НЕ ПРИМЕНЯЮТСЯ</t>
  </si>
  <si>
    <t>ПРАЙС-ЛИСТ ЯЗНАЮ</t>
  </si>
  <si>
    <t>Light Tv Viewers, 728х90+240х400+300х250, динамика</t>
  </si>
  <si>
    <t>Look Alike, 728x90+240x400+300x250, динамика</t>
  </si>
  <si>
    <t>Минимальный заказ - 500 000 руб. (без НДС), RF=3/неделя</t>
  </si>
  <si>
    <t>Ретаргетинг: поисковый,  поведенческий, с сайта, 728х90+240х400+300х250, динамика</t>
  </si>
  <si>
    <t>Минимальный заказ - 50 000 руб.(без НДС), RF=2/неделя</t>
  </si>
  <si>
    <t>Минимальный заказ - 50 000 руб.(без НДС), RF=3/неделя. Интересы аудиторной сети Яндекса (см. прайс Yandex.ru)</t>
  </si>
  <si>
    <t>Соц-дем таргетинг, Пакет "Охват 15 000К", 728х90+240х400+300х250</t>
  </si>
  <si>
    <t>RF=4/неделя, 1-4 недели</t>
  </si>
  <si>
    <t>Таргетинг по интересам, Пакет "Охват 15 000К", 728х90+240х400+300х250</t>
  </si>
  <si>
    <t>Light Tv Viewers, Пакет "Охват 15 000К", 728х90+240х400+300х250</t>
  </si>
  <si>
    <t>RF=3/неделя, 1-4 недели</t>
  </si>
  <si>
    <t>КАТЕГОРИИ ТАРГЕТИНГА</t>
  </si>
  <si>
    <t>Кастомные и индивидуальные продукты</t>
  </si>
  <si>
    <t>Указана ориентировочная стоимость. По запросу через менеджеров IMHO VI</t>
  </si>
  <si>
    <t>Таргетинги</t>
  </si>
  <si>
    <t>Только на Россию и Москву. Другие города только по согласованию, уточняйте ёмкость у менеджеров IMHO VI</t>
  </si>
  <si>
    <t>Sports.ru, Vesti.ru, Passion.ru, Quto.ru, Redigo.ru, Mtv.ru, 2x2tv.ru</t>
  </si>
  <si>
    <r>
      <t xml:space="preserve">Открутка продуктов осуществляется на проектах Яндекса и сайтах-партнёрах IMHO VI: </t>
    </r>
    <r>
      <rPr>
        <sz val="10"/>
        <rFont val="Arial"/>
        <family val="2"/>
        <charset val="204"/>
      </rPr>
      <t>Yandex.ru (все разделы кроме Главной страницы и Почты), Avito.ru, Gismeteo.ru, LiveJournal.com, Championat.com, Gazeta.ru</t>
    </r>
  </si>
  <si>
    <t>YaZnau</t>
  </si>
  <si>
    <t>ЯЗНАЮ</t>
  </si>
  <si>
    <t>Yaznau</t>
  </si>
  <si>
    <t>1 неделя. Геотаргетинг - Санкт-Петербург</t>
  </si>
  <si>
    <t>Авто/FMCG/ IT-Mobile/Развлечения/Занятость, 728х90+240х400+300х250, динамика</t>
  </si>
  <si>
    <t>Минимальный заказ - 50 000 руб.(без НДС), RF=3/неделя. Примеры таргетингов: городские авто, женщины с детьми, гаджетоманы, путешественники, офисные работники и т.д.</t>
  </si>
  <si>
    <t>Авто/FMCG/ IT-Mobile/Развлечения/Занятость, Пакет "Стандарт 3000К", 728х90+240х400+300х250</t>
  </si>
  <si>
    <t>1-4 недели. Примеры таргетингов: городские авто, женщины с детьми, гаджетоманы, путешественники, офисные работники и т.д.</t>
  </si>
  <si>
    <t>В разделах: Почта, Новости, Карты и Пробки, Погода, Аудиторная сеть (Cеть - без наценок!). В разделе "Авто" - по согласованию</t>
  </si>
  <si>
    <t>Брендирование Главной страницы, статика</t>
  </si>
  <si>
    <t>Брендирование полей Главной страницы, поля кликабельные</t>
  </si>
  <si>
    <t>Friday.ru+2х2+tv3, 240x400, Пакет "Охват 1000К"</t>
  </si>
  <si>
    <t>Friday.ru+2х2+tv3, 240x400, Пакет "Охват 1500К"</t>
  </si>
  <si>
    <t>Friday.ru+2х2+tv3, 980х120/600х90, Пакет "Охват 1500К"</t>
  </si>
  <si>
    <t>Все страницы Friday.ru, 2x2tv.ru, tv3.ru</t>
  </si>
  <si>
    <t>Tv3.ru</t>
  </si>
  <si>
    <t>Tv3.ru, 600x90</t>
  </si>
  <si>
    <t>Tv3.ru, 240x400</t>
  </si>
  <si>
    <t>Tv3.ru, FullScreen</t>
  </si>
  <si>
    <t>Все страницы ресурса tv3.ru</t>
  </si>
  <si>
    <r>
      <t xml:space="preserve">Погода, Работа, Телепрограмма, Фотки - 300х250; Авто, Словари, Расписания, Недвижимость - 728х90; Почта, Новости, Карты и Пробки - 240х400.  Возможные настройки: </t>
    </r>
    <r>
      <rPr>
        <b/>
        <sz val="10"/>
        <rFont val="Arial"/>
        <family val="2"/>
        <charset val="204"/>
      </rPr>
      <t>Поисковый ретаргетинг</t>
    </r>
    <r>
      <rPr>
        <sz val="10"/>
        <rFont val="Arial"/>
        <family val="2"/>
        <charset val="204"/>
      </rPr>
      <t xml:space="preserve"> или </t>
    </r>
    <r>
      <rPr>
        <b/>
        <sz val="10"/>
        <rFont val="Arial"/>
        <family val="2"/>
        <charset val="204"/>
      </rPr>
      <t>Поведенческий ретаргетинг</t>
    </r>
    <r>
      <rPr>
        <sz val="10"/>
        <rFont val="Arial"/>
        <family val="2"/>
        <charset val="204"/>
      </rPr>
      <t xml:space="preserve"> (см. описание ниже). Геотаргетинг - Россия. Настройка по ограничению частоты показов только RF=3/неделя крутилкой сайта для поискового ретаргетинга и RF=6/неделя для поведенческого ретаргетинга для пользователей ранее посещавших сервисы Яндекса, RF=2/сутки для пользователей ранее посещавших сайт рекламодателя. Минимальный заказ - 21 000 руб. с учётом НДС, количество показов должно быть кратно 1000.</t>
    </r>
  </si>
  <si>
    <t>Версия прайс-листа: 23.09.2013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</si>
</sst>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1" formatCode="_-* #,##0_р_._-;\-* #,##0_р_._-;_-* &quot;-&quot;_р_._-;_-@_-"/>
    <numFmt numFmtId="43" formatCode="_-* #,##0.00_р_._-;\-* #,##0.00_р_._-;_-* &quot;-&quot;??_р_._-;_-@_-"/>
    <numFmt numFmtId="164" formatCode="mmmm"/>
    <numFmt numFmtId="165" formatCode="#,##0.00_ ;\-#,##0.00\ "/>
    <numFmt numFmtId="166" formatCode="0.0%"/>
    <numFmt numFmtId="167" formatCode="#,##0.0%"/>
    <numFmt numFmtId="168" formatCode="0.000%"/>
    <numFmt numFmtId="169" formatCode="#\ ##0"/>
    <numFmt numFmtId="170" formatCode="#,##0%"/>
    <numFmt numFmtId="171" formatCode="#,##0.00%"/>
    <numFmt numFmtId="172" formatCode="#,##0.000%"/>
    <numFmt numFmtId="173" formatCode="#,##0.000"/>
    <numFmt numFmtId="174" formatCode="\+0.00%;\-0.00%;0.00%"/>
    <numFmt numFmtId="175" formatCode="#,##0_ ;\-#,##0\ "/>
  </numFmts>
  <fonts count="89" x14ac:knownFonts="1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sz val="10"/>
      <name val="Helv"/>
      <charset val="204"/>
    </font>
    <font>
      <sz val="8"/>
      <name val="Arial"/>
      <family val="2"/>
      <charset val="204"/>
    </font>
    <font>
      <sz val="14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i/>
      <sz val="10"/>
      <name val="Arial"/>
      <family val="2"/>
      <charset val="204"/>
    </font>
    <font>
      <sz val="10"/>
      <name val="Arial"/>
      <family val="2"/>
      <charset val="204"/>
    </font>
    <font>
      <b/>
      <sz val="14"/>
      <name val="Arial"/>
      <family val="2"/>
      <charset val="204"/>
    </font>
    <font>
      <sz val="12"/>
      <name val="Arial"/>
      <family val="2"/>
      <charset val="204"/>
    </font>
    <font>
      <sz val="11"/>
      <name val="Arial"/>
      <family val="2"/>
      <charset val="204"/>
    </font>
    <font>
      <b/>
      <i/>
      <sz val="10"/>
      <name val="Arial"/>
      <family val="2"/>
      <charset val="204"/>
    </font>
    <font>
      <b/>
      <u/>
      <sz val="8"/>
      <name val="Arial"/>
      <family val="2"/>
      <charset val="204"/>
    </font>
    <font>
      <i/>
      <sz val="10.5"/>
      <name val="Arial"/>
      <family val="2"/>
      <charset val="204"/>
    </font>
    <font>
      <i/>
      <sz val="8"/>
      <name val="Arial"/>
      <family val="2"/>
      <charset val="204"/>
    </font>
    <font>
      <i/>
      <sz val="8"/>
      <color indexed="12"/>
      <name val="Arial"/>
      <family val="2"/>
      <charset val="204"/>
    </font>
    <font>
      <sz val="20"/>
      <name val="Arial"/>
      <family val="2"/>
      <charset val="204"/>
    </font>
    <font>
      <b/>
      <sz val="8"/>
      <name val="Arial Cyr"/>
      <charset val="204"/>
    </font>
    <font>
      <sz val="10"/>
      <color indexed="10"/>
      <name val="Arial"/>
      <family val="2"/>
      <charset val="204"/>
    </font>
    <font>
      <b/>
      <sz val="14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Arial Cyr"/>
    </font>
    <font>
      <sz val="10"/>
      <name val="Helv"/>
    </font>
    <font>
      <u/>
      <sz val="10"/>
      <color indexed="12"/>
      <name val="Arial"/>
      <family val="2"/>
      <charset val="204"/>
    </font>
    <font>
      <b/>
      <i/>
      <sz val="10"/>
      <color indexed="10"/>
      <name val="Arial"/>
      <family val="2"/>
      <charset val="204"/>
    </font>
    <font>
      <sz val="28"/>
      <name val="Arial"/>
      <family val="2"/>
      <charset val="204"/>
    </font>
    <font>
      <b/>
      <sz val="11"/>
      <name val="Arial"/>
      <family val="2"/>
      <charset val="204"/>
    </font>
    <font>
      <sz val="16"/>
      <name val="Arial"/>
      <family val="2"/>
      <charset val="204"/>
    </font>
    <font>
      <b/>
      <sz val="9"/>
      <name val="Arial"/>
      <family val="2"/>
      <charset val="204"/>
    </font>
    <font>
      <b/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6"/>
      <name val="Arial Cyr"/>
      <charset val="204"/>
    </font>
    <font>
      <b/>
      <sz val="8"/>
      <color theme="1"/>
      <name val="Arial"/>
      <family val="2"/>
      <charset val="204"/>
    </font>
    <font>
      <sz val="24"/>
      <name val="Arial"/>
      <family val="2"/>
      <charset val="204"/>
    </font>
    <font>
      <sz val="36"/>
      <name val="Arial"/>
      <family val="2"/>
      <charset val="204"/>
    </font>
    <font>
      <b/>
      <sz val="1"/>
      <color rgb="FF969696"/>
      <name val="Arial"/>
      <family val="2"/>
      <charset val="204"/>
    </font>
    <font>
      <b/>
      <sz val="12"/>
      <color theme="9" tint="-0.249977111117893"/>
      <name val="Arial"/>
      <family val="2"/>
      <charset val="204"/>
    </font>
    <font>
      <b/>
      <sz val="22"/>
      <name val="Arial"/>
      <family val="2"/>
      <charset val="204"/>
    </font>
    <font>
      <b/>
      <i/>
      <sz val="11"/>
      <color indexed="10"/>
      <name val="Arial"/>
      <family val="2"/>
      <charset val="204"/>
    </font>
    <font>
      <b/>
      <i/>
      <sz val="8"/>
      <name val="Arial"/>
      <family val="2"/>
      <charset val="204"/>
    </font>
    <font>
      <sz val="22"/>
      <name val="Arial"/>
      <family val="2"/>
      <charset val="204"/>
    </font>
    <font>
      <b/>
      <sz val="8"/>
      <color rgb="FF002060"/>
      <name val="Arial"/>
      <family val="2"/>
      <charset val="204"/>
    </font>
    <font>
      <b/>
      <sz val="9"/>
      <name val="Symbol"/>
      <family val="1"/>
      <charset val="2"/>
    </font>
    <font>
      <b/>
      <i/>
      <sz val="9"/>
      <name val="Arial"/>
      <family val="2"/>
      <charset val="204"/>
    </font>
    <font>
      <sz val="18"/>
      <name val="Arial"/>
      <family val="2"/>
      <charset val="204"/>
    </font>
    <font>
      <i/>
      <sz val="10"/>
      <color rgb="FFFF0000"/>
      <name val="Arial"/>
      <family val="2"/>
      <charset val="204"/>
    </font>
    <font>
      <b/>
      <i/>
      <sz val="8"/>
      <color indexed="10"/>
      <name val="Arial"/>
      <family val="2"/>
      <charset val="204"/>
    </font>
    <font>
      <u/>
      <sz val="8"/>
      <color theme="10"/>
      <name val="Arial"/>
      <family val="2"/>
      <charset val="204"/>
    </font>
    <font>
      <b/>
      <sz val="16"/>
      <name val="Arial"/>
      <family val="2"/>
      <charset val="204"/>
    </font>
    <font>
      <sz val="8"/>
      <color rgb="FF5F5F5F"/>
      <name val="Arial Narrow"/>
      <family val="2"/>
      <charset val="204"/>
    </font>
    <font>
      <b/>
      <sz val="10"/>
      <color rgb="FF000000"/>
      <name val="Verdana"/>
      <family val="2"/>
      <charset val="204"/>
    </font>
    <font>
      <b/>
      <sz val="10"/>
      <color rgb="FFFF0000"/>
      <name val="Arial"/>
      <family val="2"/>
      <charset val="204"/>
    </font>
    <font>
      <sz val="10"/>
      <color theme="0" tint="-0.249977111117893"/>
      <name val="Arial"/>
      <family val="2"/>
      <charset val="204"/>
    </font>
    <font>
      <sz val="11"/>
      <color theme="0" tint="-0.249977111117893"/>
      <name val="Arial"/>
      <family val="2"/>
      <charset val="204"/>
    </font>
    <font>
      <sz val="8"/>
      <name val="Arial Narrow"/>
      <family val="2"/>
      <charset val="204"/>
    </font>
    <font>
      <sz val="10"/>
      <color theme="0" tint="-0.14999847407452621"/>
      <name val="Arial"/>
      <family val="2"/>
      <charset val="204"/>
    </font>
    <font>
      <sz val="12"/>
      <color theme="0" tint="-0.499984740745262"/>
      <name val="Arial"/>
      <family val="2"/>
      <charset val="204"/>
    </font>
    <font>
      <b/>
      <sz val="10"/>
      <color theme="0" tint="-0.499984740745262"/>
      <name val="Arial"/>
      <family val="2"/>
      <charset val="204"/>
    </font>
    <font>
      <sz val="10"/>
      <color theme="0" tint="-0.499984740745262"/>
      <name val="Arial"/>
      <family val="2"/>
      <charset val="204"/>
    </font>
    <font>
      <sz val="8"/>
      <color theme="0" tint="-0.499984740745262"/>
      <name val="Arial"/>
      <family val="2"/>
      <charset val="204"/>
    </font>
    <font>
      <b/>
      <sz val="8"/>
      <color theme="0" tint="-0.499984740745262"/>
      <name val="Arial"/>
      <family val="2"/>
      <charset val="204"/>
    </font>
    <font>
      <sz val="8"/>
      <color theme="0" tint="-0.499984740745262"/>
      <name val="Arial Narrow"/>
      <family val="2"/>
      <charset val="204"/>
    </font>
    <font>
      <b/>
      <sz val="11"/>
      <color theme="0" tint="-4.9989318521683403E-2"/>
      <name val="Arial"/>
      <family val="2"/>
      <charset val="204"/>
    </font>
    <font>
      <sz val="10"/>
      <color rgb="FFFF0000"/>
      <name val="Arial"/>
      <family val="2"/>
      <charset val="204"/>
    </font>
    <font>
      <b/>
      <i/>
      <sz val="10"/>
      <color rgb="FFFF0000"/>
      <name val="Arial"/>
      <family val="2"/>
      <charset val="204"/>
    </font>
    <font>
      <sz val="10"/>
      <color theme="1"/>
      <name val="Arial"/>
      <family val="2"/>
      <charset val="204"/>
    </font>
    <font>
      <sz val="26"/>
      <name val="Arial"/>
      <family val="2"/>
      <charset val="204"/>
    </font>
    <font>
      <sz val="120"/>
      <name val="Arial"/>
      <family val="2"/>
      <charset val="204"/>
    </font>
    <font>
      <sz val="310"/>
      <name val="Arial"/>
      <family val="2"/>
      <charset val="204"/>
    </font>
    <font>
      <u/>
      <sz val="10"/>
      <name val="Arial"/>
      <family val="2"/>
      <charset val="204"/>
    </font>
    <font>
      <b/>
      <u/>
      <sz val="11"/>
      <name val="Arial"/>
      <family val="2"/>
      <charset val="204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99"/>
        <bgColor indexed="64"/>
      </patternFill>
    </fill>
  </fills>
  <borders count="8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thin">
        <color auto="1"/>
      </top>
      <bottom style="hair">
        <color auto="1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</borders>
  <cellStyleXfs count="100">
    <xf numFmtId="0" fontId="0" fillId="0" borderId="0"/>
    <xf numFmtId="0" fontId="40" fillId="0" borderId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9" borderId="0" applyNumberFormat="0" applyBorder="0" applyAlignment="0" applyProtection="0"/>
    <xf numFmtId="0" fontId="24" fillId="3" borderId="0" applyNumberFormat="0" applyBorder="0" applyAlignment="0" applyProtection="0"/>
    <xf numFmtId="0" fontId="25" fillId="20" borderId="1" applyNumberFormat="0" applyAlignment="0" applyProtection="0"/>
    <xf numFmtId="0" fontId="26" fillId="21" borderId="2" applyNumberFormat="0" applyAlignment="0" applyProtection="0"/>
    <xf numFmtId="0" fontId="27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9" fillId="0" borderId="3" applyNumberFormat="0" applyFill="0" applyAlignment="0" applyProtection="0"/>
    <xf numFmtId="0" fontId="30" fillId="0" borderId="4" applyNumberFormat="0" applyFill="0" applyAlignment="0" applyProtection="0"/>
    <xf numFmtId="0" fontId="31" fillId="0" borderId="5" applyNumberFormat="0" applyFill="0" applyAlignment="0" applyProtection="0"/>
    <xf numFmtId="0" fontId="31" fillId="0" borderId="0" applyNumberFormat="0" applyFill="0" applyBorder="0" applyAlignment="0" applyProtection="0"/>
    <xf numFmtId="0" fontId="32" fillId="7" borderId="1" applyNumberFormat="0" applyAlignment="0" applyProtection="0"/>
    <xf numFmtId="0" fontId="33" fillId="0" borderId="6" applyNumberFormat="0" applyFill="0" applyAlignment="0" applyProtection="0"/>
    <xf numFmtId="0" fontId="34" fillId="22" borderId="0" applyNumberFormat="0" applyBorder="0" applyAlignment="0" applyProtection="0"/>
    <xf numFmtId="0" fontId="9" fillId="0" borderId="0"/>
    <xf numFmtId="0" fontId="39" fillId="0" borderId="0"/>
    <xf numFmtId="0" fontId="1" fillId="23" borderId="7" applyNumberFormat="0" applyFont="0" applyAlignment="0" applyProtection="0"/>
    <xf numFmtId="0" fontId="35" fillId="20" borderId="8" applyNumberFormat="0" applyAlignment="0" applyProtection="0"/>
    <xf numFmtId="0" fontId="36" fillId="0" borderId="0" applyNumberFormat="0" applyFill="0" applyBorder="0" applyAlignment="0" applyProtection="0"/>
    <xf numFmtId="0" fontId="37" fillId="0" borderId="9" applyNumberFormat="0" applyFill="0" applyAlignment="0" applyProtection="0"/>
    <xf numFmtId="0" fontId="3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43" fontId="39" fillId="0" borderId="0" applyFont="0" applyFill="0" applyBorder="0" applyAlignment="0" applyProtection="0"/>
  </cellStyleXfs>
  <cellXfs count="957">
    <xf numFmtId="0" fontId="0" fillId="0" borderId="0" xfId="0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9" fillId="0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164" fontId="9" fillId="0" borderId="0" xfId="0" applyNumberFormat="1" applyFont="1" applyFill="1" applyBorder="1" applyAlignment="1">
      <alignment vertical="center"/>
    </xf>
    <xf numFmtId="165" fontId="9" fillId="0" borderId="0" xfId="84" applyNumberFormat="1" applyFont="1" applyFill="1" applyBorder="1" applyAlignment="1">
      <alignment vertical="center"/>
    </xf>
    <xf numFmtId="0" fontId="6" fillId="24" borderId="10" xfId="0" applyNumberFormat="1" applyFont="1" applyFill="1" applyBorder="1" applyAlignment="1">
      <alignment horizontal="right" vertical="center" indent="1"/>
    </xf>
    <xf numFmtId="0" fontId="6" fillId="24" borderId="12" xfId="0" applyNumberFormat="1" applyFont="1" applyFill="1" applyBorder="1" applyAlignment="1">
      <alignment horizontal="right" vertical="center" indent="1"/>
    </xf>
    <xf numFmtId="0" fontId="6" fillId="24" borderId="15" xfId="0" applyNumberFormat="1" applyFont="1" applyFill="1" applyBorder="1" applyAlignment="1">
      <alignment horizontal="right" vertical="center" indent="1"/>
    </xf>
    <xf numFmtId="0" fontId="10" fillId="0" borderId="0" xfId="0" applyFont="1" applyAlignment="1" applyProtection="1">
      <alignment vertical="center"/>
    </xf>
    <xf numFmtId="0" fontId="2" fillId="0" borderId="0" xfId="0" applyFont="1"/>
    <xf numFmtId="3" fontId="7" fillId="24" borderId="14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>
      <alignment horizontal="right" vertical="center" indent="1"/>
    </xf>
    <xf numFmtId="165" fontId="9" fillId="0" borderId="0" xfId="84" applyNumberFormat="1" applyFont="1" applyFill="1" applyBorder="1" applyAlignment="1">
      <alignment horizontal="right" vertical="center" indent="1"/>
    </xf>
    <xf numFmtId="4" fontId="7" fillId="24" borderId="23" xfId="0" applyNumberFormat="1" applyFont="1" applyFill="1" applyBorder="1" applyAlignment="1" applyProtection="1">
      <alignment horizontal="center" vertical="center" wrapText="1"/>
    </xf>
    <xf numFmtId="167" fontId="4" fillId="0" borderId="0" xfId="0" applyNumberFormat="1" applyFont="1" applyAlignment="1">
      <alignment vertical="center"/>
    </xf>
    <xf numFmtId="3" fontId="4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0" fontId="7" fillId="0" borderId="0" xfId="0" applyFont="1" applyFill="1" applyAlignment="1">
      <alignment horizontal="center"/>
    </xf>
    <xf numFmtId="164" fontId="7" fillId="24" borderId="14" xfId="0" applyNumberFormat="1" applyFont="1" applyFill="1" applyBorder="1" applyAlignment="1">
      <alignment horizontal="center"/>
    </xf>
    <xf numFmtId="164" fontId="7" fillId="24" borderId="17" xfId="0" applyNumberFormat="1" applyFont="1" applyFill="1" applyBorder="1" applyAlignment="1">
      <alignment horizontal="center"/>
    </xf>
    <xf numFmtId="164" fontId="7" fillId="24" borderId="18" xfId="0" applyNumberFormat="1" applyFont="1" applyFill="1" applyBorder="1" applyAlignment="1">
      <alignment horizontal="center"/>
    </xf>
    <xf numFmtId="0" fontId="4" fillId="0" borderId="0" xfId="0" applyFont="1" applyFill="1"/>
    <xf numFmtId="164" fontId="4" fillId="0" borderId="0" xfId="0" applyNumberFormat="1" applyFont="1" applyFill="1"/>
    <xf numFmtId="0" fontId="7" fillId="24" borderId="14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70" fontId="4" fillId="0" borderId="0" xfId="0" applyNumberFormat="1" applyFont="1" applyAlignment="1">
      <alignment horizontal="center" vertical="center"/>
    </xf>
    <xf numFmtId="170" fontId="7" fillId="24" borderId="37" xfId="0" applyNumberFormat="1" applyFont="1" applyFill="1" applyBorder="1" applyAlignment="1" applyProtection="1">
      <alignment horizontal="center" vertical="center" wrapText="1"/>
    </xf>
    <xf numFmtId="170" fontId="4" fillId="27" borderId="35" xfId="78" applyNumberFormat="1" applyFont="1" applyFill="1" applyBorder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3" fontId="7" fillId="24" borderId="37" xfId="0" applyNumberFormat="1" applyFont="1" applyFill="1" applyBorder="1" applyAlignment="1" applyProtection="1">
      <alignment horizontal="center" vertical="center" wrapText="1"/>
    </xf>
    <xf numFmtId="3" fontId="4" fillId="27" borderId="35" xfId="78" applyNumberFormat="1" applyFont="1" applyFill="1" applyBorder="1" applyAlignment="1">
      <alignment horizontal="center" vertical="center"/>
    </xf>
    <xf numFmtId="3" fontId="4" fillId="27" borderId="27" xfId="78" applyNumberFormat="1" applyFont="1" applyFill="1" applyBorder="1" applyAlignment="1">
      <alignment horizontal="center" vertical="center"/>
    </xf>
    <xf numFmtId="3" fontId="4" fillId="0" borderId="0" xfId="0" applyNumberFormat="1" applyFont="1" applyAlignment="1">
      <alignment horizontal="left" vertical="center" indent="1"/>
    </xf>
    <xf numFmtId="3" fontId="4" fillId="27" borderId="35" xfId="78" applyNumberFormat="1" applyFont="1" applyFill="1" applyBorder="1" applyAlignment="1">
      <alignment horizontal="left" vertical="center" indent="1"/>
    </xf>
    <xf numFmtId="3" fontId="7" fillId="24" borderId="23" xfId="0" applyNumberFormat="1" applyFont="1" applyFill="1" applyBorder="1" applyAlignment="1" applyProtection="1">
      <alignment horizontal="center" vertical="center" wrapText="1"/>
    </xf>
    <xf numFmtId="167" fontId="7" fillId="24" borderId="22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Alignment="1">
      <alignment horizontal="left" vertical="center" indent="3"/>
    </xf>
    <xf numFmtId="0" fontId="4" fillId="0" borderId="0" xfId="0" applyFont="1" applyBorder="1" applyAlignment="1">
      <alignment vertical="center"/>
    </xf>
    <xf numFmtId="170" fontId="4" fillId="0" borderId="0" xfId="0" applyNumberFormat="1" applyFont="1" applyBorder="1" applyAlignment="1">
      <alignment horizontal="center" vertical="center"/>
    </xf>
    <xf numFmtId="3" fontId="4" fillId="0" borderId="0" xfId="0" applyNumberFormat="1" applyFont="1" applyBorder="1" applyAlignment="1">
      <alignment horizontal="center" vertical="center"/>
    </xf>
    <xf numFmtId="3" fontId="4" fillId="0" borderId="0" xfId="0" applyNumberFormat="1" applyFont="1" applyBorder="1" applyAlignment="1">
      <alignment vertical="center"/>
    </xf>
    <xf numFmtId="3" fontId="4" fillId="0" borderId="0" xfId="0" applyNumberFormat="1" applyFont="1" applyBorder="1" applyAlignment="1">
      <alignment horizontal="left" vertical="center" indent="1"/>
    </xf>
    <xf numFmtId="167" fontId="4" fillId="0" borderId="0" xfId="0" applyNumberFormat="1" applyFont="1" applyBorder="1" applyAlignment="1">
      <alignment vertical="center"/>
    </xf>
    <xf numFmtId="10" fontId="4" fillId="0" borderId="0" xfId="0" applyNumberFormat="1" applyFont="1" applyFill="1"/>
    <xf numFmtId="10" fontId="4" fillId="0" borderId="0" xfId="0" applyNumberFormat="1" applyFont="1" applyAlignment="1">
      <alignment vertical="center"/>
    </xf>
    <xf numFmtId="10" fontId="7" fillId="24" borderId="14" xfId="0" applyNumberFormat="1" applyFont="1" applyFill="1" applyBorder="1" applyAlignment="1">
      <alignment horizontal="center" vertical="center" wrapText="1"/>
    </xf>
    <xf numFmtId="10" fontId="4" fillId="0" borderId="0" xfId="0" applyNumberFormat="1" applyFont="1" applyAlignment="1">
      <alignment horizontal="center" vertical="center"/>
    </xf>
    <xf numFmtId="0" fontId="4" fillId="24" borderId="14" xfId="0" applyFont="1" applyFill="1" applyBorder="1" applyAlignment="1">
      <alignment vertical="center"/>
    </xf>
    <xf numFmtId="0" fontId="7" fillId="24" borderId="14" xfId="0" applyFont="1" applyFill="1" applyBorder="1" applyAlignment="1">
      <alignment horizontal="center" vertical="center"/>
    </xf>
    <xf numFmtId="10" fontId="7" fillId="24" borderId="14" xfId="0" applyNumberFormat="1" applyFont="1" applyFill="1" applyBorder="1" applyAlignment="1">
      <alignment horizontal="center" vertical="center"/>
    </xf>
    <xf numFmtId="3" fontId="4" fillId="25" borderId="22" xfId="0" applyNumberFormat="1" applyFont="1" applyFill="1" applyBorder="1" applyAlignment="1">
      <alignment horizontal="center" vertical="center"/>
    </xf>
    <xf numFmtId="3" fontId="4" fillId="25" borderId="23" xfId="0" applyNumberFormat="1" applyFont="1" applyFill="1" applyBorder="1" applyAlignment="1">
      <alignment horizontal="center" vertical="center"/>
    </xf>
    <xf numFmtId="3" fontId="4" fillId="25" borderId="24" xfId="0" applyNumberFormat="1" applyFont="1" applyFill="1" applyBorder="1" applyAlignment="1">
      <alignment horizontal="center" vertical="center"/>
    </xf>
    <xf numFmtId="167" fontId="7" fillId="24" borderId="23" xfId="0" applyNumberFormat="1" applyFont="1" applyFill="1" applyBorder="1" applyAlignment="1" applyProtection="1">
      <alignment horizontal="center" vertical="center" wrapText="1"/>
    </xf>
    <xf numFmtId="172" fontId="4" fillId="0" borderId="0" xfId="0" applyNumberFormat="1" applyFont="1" applyAlignment="1">
      <alignment horizontal="right" vertical="center" indent="1"/>
    </xf>
    <xf numFmtId="172" fontId="4" fillId="0" borderId="0" xfId="0" applyNumberFormat="1" applyFont="1" applyBorder="1" applyAlignment="1">
      <alignment horizontal="right" vertical="center" indent="1"/>
    </xf>
    <xf numFmtId="0" fontId="9" fillId="0" borderId="0" xfId="0" applyFont="1"/>
    <xf numFmtId="0" fontId="9" fillId="0" borderId="14" xfId="77" applyFont="1" applyFill="1" applyBorder="1" applyAlignment="1">
      <alignment horizontal="center" vertical="center" wrapText="1"/>
    </xf>
    <xf numFmtId="9" fontId="9" fillId="0" borderId="14" xfId="78" applyFont="1" applyBorder="1" applyAlignment="1">
      <alignment horizontal="center" vertical="center" wrapText="1"/>
    </xf>
    <xf numFmtId="9" fontId="4" fillId="0" borderId="0" xfId="0" applyNumberFormat="1" applyFont="1" applyFill="1"/>
    <xf numFmtId="49" fontId="19" fillId="0" borderId="39" xfId="0" applyNumberFormat="1" applyFont="1" applyBorder="1" applyAlignment="1">
      <alignment horizontal="center"/>
    </xf>
    <xf numFmtId="49" fontId="19" fillId="0" borderId="40" xfId="0" applyNumberFormat="1" applyFont="1" applyBorder="1" applyAlignment="1">
      <alignment horizontal="center"/>
    </xf>
    <xf numFmtId="0" fontId="19" fillId="0" borderId="41" xfId="0" applyFont="1" applyBorder="1" applyAlignment="1">
      <alignment horizontal="center"/>
    </xf>
    <xf numFmtId="49" fontId="2" fillId="0" borderId="26" xfId="0" applyNumberFormat="1" applyFont="1" applyBorder="1"/>
    <xf numFmtId="49" fontId="2" fillId="0" borderId="27" xfId="0" applyNumberFormat="1" applyFont="1" applyBorder="1"/>
    <xf numFmtId="0" fontId="2" fillId="0" borderId="29" xfId="0" applyFont="1" applyBorder="1"/>
    <xf numFmtId="0" fontId="9" fillId="0" borderId="14" xfId="0" applyFont="1" applyBorder="1" applyAlignment="1">
      <alignment horizontal="center" vertical="center" wrapText="1"/>
    </xf>
    <xf numFmtId="9" fontId="4" fillId="0" borderId="0" xfId="78" applyFont="1" applyFill="1" applyAlignment="1">
      <alignment horizontal="center" vertical="center"/>
    </xf>
    <xf numFmtId="9" fontId="4" fillId="0" borderId="0" xfId="78" applyFont="1" applyFill="1" applyBorder="1" applyAlignment="1">
      <alignment horizontal="center" vertical="center"/>
    </xf>
    <xf numFmtId="0" fontId="9" fillId="0" borderId="0" xfId="77" applyFont="1" applyFill="1" applyBorder="1" applyAlignment="1">
      <alignment horizontal="center" vertical="center" wrapText="1"/>
    </xf>
    <xf numFmtId="9" fontId="9" fillId="0" borderId="0" xfId="78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/>
    </xf>
    <xf numFmtId="0" fontId="21" fillId="0" borderId="0" xfId="0" applyFont="1" applyAlignment="1" applyProtection="1">
      <alignment vertical="center"/>
    </xf>
    <xf numFmtId="0" fontId="9" fillId="0" borderId="10" xfId="77" applyFont="1" applyFill="1" applyBorder="1" applyAlignment="1">
      <alignment horizontal="center" vertical="center" wrapText="1"/>
    </xf>
    <xf numFmtId="9" fontId="9" fillId="0" borderId="10" xfId="78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2" xfId="77" applyFont="1" applyFill="1" applyBorder="1" applyAlignment="1">
      <alignment horizontal="center" vertical="center" wrapText="1"/>
    </xf>
    <xf numFmtId="9" fontId="9" fillId="0" borderId="12" xfId="78" applyFont="1" applyBorder="1" applyAlignment="1">
      <alignment horizontal="center" vertical="center" wrapText="1"/>
    </xf>
    <xf numFmtId="0" fontId="9" fillId="0" borderId="12" xfId="0" applyFont="1" applyBorder="1" applyAlignment="1">
      <alignment horizontal="left" vertical="center" wrapText="1"/>
    </xf>
    <xf numFmtId="0" fontId="9" fillId="0" borderId="15" xfId="77" applyFont="1" applyFill="1" applyBorder="1" applyAlignment="1">
      <alignment horizontal="center" vertical="center" wrapText="1"/>
    </xf>
    <xf numFmtId="9" fontId="9" fillId="0" borderId="15" xfId="78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1" xfId="77" applyFont="1" applyFill="1" applyBorder="1" applyAlignment="1">
      <alignment horizontal="center" vertical="center" wrapText="1"/>
    </xf>
    <xf numFmtId="9" fontId="9" fillId="0" borderId="11" xfId="78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left" vertical="center"/>
    </xf>
    <xf numFmtId="9" fontId="9" fillId="0" borderId="10" xfId="78" applyFont="1" applyBorder="1" applyAlignment="1">
      <alignment horizontal="center" wrapText="1"/>
    </xf>
    <xf numFmtId="0" fontId="9" fillId="0" borderId="10" xfId="0" applyFont="1" applyBorder="1" applyAlignment="1">
      <alignment horizontal="right" wrapText="1"/>
    </xf>
    <xf numFmtId="9" fontId="9" fillId="0" borderId="12" xfId="78" applyFont="1" applyBorder="1" applyAlignment="1">
      <alignment horizontal="center" wrapText="1"/>
    </xf>
    <xf numFmtId="0" fontId="9" fillId="0" borderId="12" xfId="0" applyFont="1" applyBorder="1" applyAlignment="1">
      <alignment horizontal="right" wrapText="1"/>
    </xf>
    <xf numFmtId="9" fontId="9" fillId="0" borderId="15" xfId="78" applyFont="1" applyBorder="1" applyAlignment="1">
      <alignment horizontal="center" wrapText="1"/>
    </xf>
    <xf numFmtId="0" fontId="9" fillId="0" borderId="15" xfId="0" applyFont="1" applyBorder="1" applyAlignment="1">
      <alignment horizontal="right" wrapText="1"/>
    </xf>
    <xf numFmtId="0" fontId="9" fillId="0" borderId="13" xfId="77" applyFont="1" applyFill="1" applyBorder="1" applyAlignment="1">
      <alignment horizontal="center" vertical="center" wrapText="1"/>
    </xf>
    <xf numFmtId="9" fontId="9" fillId="0" borderId="13" xfId="78" applyFont="1" applyBorder="1" applyAlignment="1">
      <alignment horizontal="center" vertical="center" wrapText="1"/>
    </xf>
    <xf numFmtId="0" fontId="9" fillId="0" borderId="13" xfId="0" applyFont="1" applyBorder="1" applyAlignment="1">
      <alignment horizontal="left" vertical="center" wrapText="1"/>
    </xf>
    <xf numFmtId="0" fontId="9" fillId="0" borderId="10" xfId="0" applyFont="1" applyBorder="1" applyAlignment="1">
      <alignment vertical="center"/>
    </xf>
    <xf numFmtId="0" fontId="9" fillId="0" borderId="20" xfId="77" applyFont="1" applyFill="1" applyBorder="1" applyAlignment="1">
      <alignment horizontal="center" vertical="center" wrapText="1"/>
    </xf>
    <xf numFmtId="9" fontId="9" fillId="0" borderId="20" xfId="78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left" vertical="center"/>
    </xf>
    <xf numFmtId="0" fontId="9" fillId="0" borderId="13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3" xfId="0" applyFont="1" applyBorder="1" applyAlignment="1">
      <alignment vertical="center"/>
    </xf>
    <xf numFmtId="0" fontId="6" fillId="0" borderId="15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171" fontId="44" fillId="29" borderId="14" xfId="0" applyNumberFormat="1" applyFont="1" applyFill="1" applyBorder="1" applyAlignment="1" applyProtection="1">
      <alignment horizontal="right" vertical="center" indent="1"/>
      <protection hidden="1"/>
    </xf>
    <xf numFmtId="166" fontId="44" fillId="29" borderId="18" xfId="78" applyNumberFormat="1" applyFont="1" applyFill="1" applyBorder="1" applyAlignment="1" applyProtection="1">
      <alignment horizontal="right" vertical="center" indent="1"/>
      <protection hidden="1"/>
    </xf>
    <xf numFmtId="3" fontId="4" fillId="0" borderId="12" xfId="0" applyNumberFormat="1" applyFont="1" applyFill="1" applyBorder="1" applyAlignment="1">
      <alignment horizontal="right" vertical="center" indent="1"/>
    </xf>
    <xf numFmtId="167" fontId="4" fillId="0" borderId="26" xfId="78" applyNumberFormat="1" applyFont="1" applyFill="1" applyBorder="1" applyAlignment="1">
      <alignment vertical="center"/>
    </xf>
    <xf numFmtId="167" fontId="4" fillId="0" borderId="27" xfId="78" applyNumberFormat="1" applyFont="1" applyFill="1" applyBorder="1" applyAlignment="1">
      <alignment vertical="center"/>
    </xf>
    <xf numFmtId="9" fontId="4" fillId="0" borderId="19" xfId="78" applyFont="1" applyFill="1" applyBorder="1" applyAlignment="1">
      <alignment horizontal="center" vertical="center"/>
    </xf>
    <xf numFmtId="3" fontId="4" fillId="28" borderId="12" xfId="0" applyNumberFormat="1" applyFont="1" applyFill="1" applyBorder="1" applyAlignment="1">
      <alignment horizontal="right" vertical="center" indent="1"/>
    </xf>
    <xf numFmtId="170" fontId="4" fillId="28" borderId="35" xfId="78" applyNumberFormat="1" applyFont="1" applyFill="1" applyBorder="1" applyAlignment="1">
      <alignment horizontal="center" vertical="center"/>
    </xf>
    <xf numFmtId="3" fontId="4" fillId="28" borderId="27" xfId="78" applyNumberFormat="1" applyFont="1" applyFill="1" applyBorder="1" applyAlignment="1">
      <alignment horizontal="center" vertical="center"/>
    </xf>
    <xf numFmtId="3" fontId="4" fillId="28" borderId="35" xfId="78" applyNumberFormat="1" applyFont="1" applyFill="1" applyBorder="1" applyAlignment="1">
      <alignment horizontal="center" vertical="center"/>
    </xf>
    <xf numFmtId="3" fontId="4" fillId="28" borderId="35" xfId="78" applyNumberFormat="1" applyFont="1" applyFill="1" applyBorder="1" applyAlignment="1">
      <alignment vertical="center"/>
    </xf>
    <xf numFmtId="3" fontId="4" fillId="28" borderId="35" xfId="78" applyNumberFormat="1" applyFont="1" applyFill="1" applyBorder="1" applyAlignment="1">
      <alignment horizontal="left" vertical="center" indent="1"/>
    </xf>
    <xf numFmtId="3" fontId="4" fillId="28" borderId="27" xfId="78" applyNumberFormat="1" applyFont="1" applyFill="1" applyBorder="1" applyAlignment="1">
      <alignment vertical="center"/>
    </xf>
    <xf numFmtId="167" fontId="4" fillId="28" borderId="26" xfId="78" applyNumberFormat="1" applyFont="1" applyFill="1" applyBorder="1" applyAlignment="1">
      <alignment vertical="center"/>
    </xf>
    <xf numFmtId="167" fontId="4" fillId="28" borderId="27" xfId="78" applyNumberFormat="1" applyFont="1" applyFill="1" applyBorder="1" applyAlignment="1">
      <alignment vertical="center"/>
    </xf>
    <xf numFmtId="9" fontId="4" fillId="28" borderId="19" xfId="78" applyFont="1" applyFill="1" applyBorder="1" applyAlignment="1">
      <alignment horizontal="center" vertical="center"/>
    </xf>
    <xf numFmtId="0" fontId="0" fillId="0" borderId="0" xfId="0"/>
    <xf numFmtId="0" fontId="7" fillId="28" borderId="12" xfId="0" applyNumberFormat="1" applyFont="1" applyFill="1" applyBorder="1" applyAlignment="1">
      <alignment horizontal="left" vertical="center" indent="1"/>
    </xf>
    <xf numFmtId="0" fontId="2" fillId="0" borderId="29" xfId="0" applyFont="1" applyBorder="1" applyAlignment="1">
      <alignment wrapText="1"/>
    </xf>
    <xf numFmtId="0" fontId="7" fillId="24" borderId="14" xfId="0" applyFont="1" applyFill="1" applyBorder="1" applyAlignment="1">
      <alignment vertical="center" wrapText="1"/>
    </xf>
    <xf numFmtId="0" fontId="7" fillId="24" borderId="14" xfId="0" applyFont="1" applyFill="1" applyBorder="1" applyAlignment="1">
      <alignment vertical="center"/>
    </xf>
    <xf numFmtId="3" fontId="4" fillId="0" borderId="10" xfId="0" applyNumberFormat="1" applyFont="1" applyFill="1" applyBorder="1" applyAlignment="1">
      <alignment horizontal="center" vertical="center"/>
    </xf>
    <xf numFmtId="3" fontId="4" fillId="0" borderId="12" xfId="0" applyNumberFormat="1" applyFont="1" applyFill="1" applyBorder="1" applyAlignment="1">
      <alignment horizontal="center" vertical="center"/>
    </xf>
    <xf numFmtId="168" fontId="4" fillId="30" borderId="10" xfId="78" applyNumberFormat="1" applyFont="1" applyFill="1" applyBorder="1" applyAlignment="1">
      <alignment vertical="center"/>
    </xf>
    <xf numFmtId="168" fontId="4" fillId="30" borderId="12" xfId="0" applyNumberFormat="1" applyFont="1" applyFill="1" applyBorder="1" applyAlignment="1">
      <alignment vertical="center"/>
    </xf>
    <xf numFmtId="3" fontId="4" fillId="30" borderId="10" xfId="0" applyNumberFormat="1" applyFont="1" applyFill="1" applyBorder="1" applyAlignment="1">
      <alignment horizontal="left" vertical="center" indent="1"/>
    </xf>
    <xf numFmtId="0" fontId="4" fillId="30" borderId="10" xfId="0" applyFont="1" applyFill="1" applyBorder="1" applyAlignment="1">
      <alignment horizontal="left" vertical="center" indent="1"/>
    </xf>
    <xf numFmtId="3" fontId="4" fillId="30" borderId="12" xfId="0" applyNumberFormat="1" applyFont="1" applyFill="1" applyBorder="1" applyAlignment="1">
      <alignment horizontal="left" vertical="center" indent="1"/>
    </xf>
    <xf numFmtId="0" fontId="4" fillId="30" borderId="12" xfId="0" applyFont="1" applyFill="1" applyBorder="1" applyAlignment="1">
      <alignment horizontal="left" vertical="center" indent="1"/>
    </xf>
    <xf numFmtId="49" fontId="4" fillId="30" borderId="12" xfId="0" applyNumberFormat="1" applyFont="1" applyFill="1" applyBorder="1" applyAlignment="1">
      <alignment horizontal="left" vertical="center" indent="1"/>
    </xf>
    <xf numFmtId="3" fontId="4" fillId="0" borderId="10" xfId="0" applyNumberFormat="1" applyFont="1" applyFill="1" applyBorder="1" applyAlignment="1">
      <alignment horizontal="right" vertical="center" indent="1"/>
    </xf>
    <xf numFmtId="3" fontId="7" fillId="24" borderId="14" xfId="0" applyNumberFormat="1" applyFont="1" applyFill="1" applyBorder="1" applyAlignment="1">
      <alignment horizontal="right" vertical="center" indent="1"/>
    </xf>
    <xf numFmtId="10" fontId="0" fillId="0" borderId="0" xfId="0" applyNumberFormat="1"/>
    <xf numFmtId="0" fontId="49" fillId="0" borderId="0" xfId="0" applyFont="1"/>
    <xf numFmtId="3" fontId="47" fillId="29" borderId="14" xfId="56" applyNumberFormat="1" applyFont="1" applyFill="1" applyBorder="1" applyAlignment="1">
      <alignment horizontal="center" vertical="center" wrapText="1"/>
    </xf>
    <xf numFmtId="9" fontId="4" fillId="0" borderId="10" xfId="78" applyFont="1" applyFill="1" applyBorder="1" applyAlignment="1">
      <alignment horizontal="right" vertical="center" indent="1"/>
    </xf>
    <xf numFmtId="9" fontId="4" fillId="0" borderId="12" xfId="78" applyFont="1" applyFill="1" applyBorder="1" applyAlignment="1">
      <alignment horizontal="right" vertical="center" indent="1"/>
    </xf>
    <xf numFmtId="9" fontId="7" fillId="24" borderId="14" xfId="78" applyFont="1" applyFill="1" applyBorder="1" applyAlignment="1">
      <alignment horizontal="right" vertical="center" indent="1"/>
    </xf>
    <xf numFmtId="0" fontId="2" fillId="0" borderId="29" xfId="0" applyFont="1" applyBorder="1" applyAlignment="1"/>
    <xf numFmtId="168" fontId="4" fillId="0" borderId="10" xfId="78" applyNumberFormat="1" applyFont="1" applyFill="1" applyBorder="1" applyAlignment="1">
      <alignment horizontal="right" vertical="center" indent="1"/>
    </xf>
    <xf numFmtId="168" fontId="4" fillId="0" borderId="12" xfId="78" applyNumberFormat="1" applyFont="1" applyFill="1" applyBorder="1" applyAlignment="1">
      <alignment horizontal="right" vertical="center" indent="1"/>
    </xf>
    <xf numFmtId="0" fontId="7" fillId="28" borderId="14" xfId="0" applyFont="1" applyFill="1" applyBorder="1" applyAlignment="1">
      <alignment horizontal="center" vertical="center" wrapText="1"/>
    </xf>
    <xf numFmtId="168" fontId="2" fillId="0" borderId="0" xfId="0" applyNumberFormat="1" applyFont="1" applyAlignment="1">
      <alignment horizontal="right" vertical="center" indent="1"/>
    </xf>
    <xf numFmtId="168" fontId="50" fillId="29" borderId="14" xfId="78" applyNumberFormat="1" applyFont="1" applyFill="1" applyBorder="1" applyAlignment="1">
      <alignment horizontal="right" vertical="center" wrapText="1" indent="1"/>
    </xf>
    <xf numFmtId="3" fontId="2" fillId="0" borderId="0" xfId="0" applyNumberFormat="1" applyFont="1" applyAlignment="1">
      <alignment horizontal="right" vertical="center" indent="1"/>
    </xf>
    <xf numFmtId="10" fontId="48" fillId="0" borderId="12" xfId="56" applyNumberFormat="1" applyFont="1" applyFill="1" applyBorder="1" applyAlignment="1">
      <alignment horizontal="right" vertical="center" indent="1"/>
    </xf>
    <xf numFmtId="168" fontId="50" fillId="29" borderId="18" xfId="78" applyNumberFormat="1" applyFont="1" applyFill="1" applyBorder="1" applyAlignment="1">
      <alignment horizontal="right" vertical="center" wrapText="1" indent="1"/>
    </xf>
    <xf numFmtId="10" fontId="48" fillId="0" borderId="32" xfId="56" applyNumberFormat="1" applyFont="1" applyFill="1" applyBorder="1" applyAlignment="1">
      <alignment horizontal="right" vertical="center" indent="1"/>
    </xf>
    <xf numFmtId="3" fontId="47" fillId="29" borderId="18" xfId="56" applyNumberFormat="1" applyFont="1" applyFill="1" applyBorder="1" applyAlignment="1">
      <alignment horizontal="center" vertical="center" wrapText="1"/>
    </xf>
    <xf numFmtId="3" fontId="50" fillId="29" borderId="10" xfId="56" applyNumberFormat="1" applyFont="1" applyFill="1" applyBorder="1" applyAlignment="1">
      <alignment horizontal="right" vertical="center" wrapText="1" indent="1"/>
    </xf>
    <xf numFmtId="3" fontId="50" fillId="29" borderId="31" xfId="56" applyNumberFormat="1" applyFont="1" applyFill="1" applyBorder="1" applyAlignment="1">
      <alignment horizontal="right" vertical="center" wrapText="1" indent="1"/>
    </xf>
    <xf numFmtId="168" fontId="50" fillId="29" borderId="12" xfId="56" applyNumberFormat="1" applyFont="1" applyFill="1" applyBorder="1" applyAlignment="1">
      <alignment horizontal="right" vertical="center" wrapText="1" indent="1"/>
    </xf>
    <xf numFmtId="168" fontId="50" fillId="29" borderId="32" xfId="78" applyNumberFormat="1" applyFont="1" applyFill="1" applyBorder="1" applyAlignment="1">
      <alignment horizontal="right" vertical="center" wrapText="1" indent="1"/>
    </xf>
    <xf numFmtId="168" fontId="50" fillId="29" borderId="12" xfId="78" applyNumberFormat="1" applyFont="1" applyFill="1" applyBorder="1" applyAlignment="1">
      <alignment horizontal="right" vertical="center" wrapText="1" indent="1"/>
    </xf>
    <xf numFmtId="168" fontId="50" fillId="29" borderId="33" xfId="78" applyNumberFormat="1" applyFont="1" applyFill="1" applyBorder="1" applyAlignment="1">
      <alignment horizontal="right" vertical="center" wrapText="1" indent="1"/>
    </xf>
    <xf numFmtId="168" fontId="50" fillId="29" borderId="15" xfId="78" applyNumberFormat="1" applyFont="1" applyFill="1" applyBorder="1" applyAlignment="1">
      <alignment horizontal="right" vertical="center" wrapText="1" indent="1"/>
    </xf>
    <xf numFmtId="168" fontId="50" fillId="29" borderId="32" xfId="56" applyNumberFormat="1" applyFont="1" applyFill="1" applyBorder="1" applyAlignment="1">
      <alignment horizontal="right" vertical="center" wrapText="1" indent="1"/>
    </xf>
    <xf numFmtId="168" fontId="50" fillId="29" borderId="47" xfId="56" applyNumberFormat="1" applyFont="1" applyFill="1" applyBorder="1" applyAlignment="1">
      <alignment horizontal="right" vertical="center" wrapText="1" indent="1"/>
    </xf>
    <xf numFmtId="3" fontId="50" fillId="29" borderId="12" xfId="56" applyNumberFormat="1" applyFont="1" applyFill="1" applyBorder="1" applyAlignment="1">
      <alignment horizontal="right" vertical="center" wrapText="1" indent="1"/>
    </xf>
    <xf numFmtId="3" fontId="50" fillId="29" borderId="32" xfId="56" applyNumberFormat="1" applyFont="1" applyFill="1" applyBorder="1" applyAlignment="1">
      <alignment horizontal="right" vertical="center" wrapText="1" indent="1"/>
    </xf>
    <xf numFmtId="0" fontId="2" fillId="0" borderId="0" xfId="0" applyFont="1" applyAlignment="1">
      <alignment horizontal="right" vertical="center" indent="1"/>
    </xf>
    <xf numFmtId="3" fontId="50" fillId="30" borderId="31" xfId="56" applyNumberFormat="1" applyFont="1" applyFill="1" applyBorder="1" applyAlignment="1">
      <alignment horizontal="right" vertical="center" wrapText="1" indent="1"/>
    </xf>
    <xf numFmtId="3" fontId="50" fillId="30" borderId="10" xfId="56" applyNumberFormat="1" applyFont="1" applyFill="1" applyBorder="1" applyAlignment="1">
      <alignment horizontal="right" vertical="center" wrapText="1" indent="1"/>
    </xf>
    <xf numFmtId="3" fontId="50" fillId="30" borderId="33" xfId="56" applyNumberFormat="1" applyFont="1" applyFill="1" applyBorder="1" applyAlignment="1">
      <alignment horizontal="right" vertical="center" wrapText="1" indent="1"/>
    </xf>
    <xf numFmtId="3" fontId="50" fillId="30" borderId="15" xfId="56" applyNumberFormat="1" applyFont="1" applyFill="1" applyBorder="1" applyAlignment="1">
      <alignment horizontal="right" vertical="center" wrapText="1" indent="1"/>
    </xf>
    <xf numFmtId="4" fontId="4" fillId="0" borderId="0" xfId="0" applyNumberFormat="1" applyFont="1" applyAlignment="1">
      <alignment vertical="center"/>
    </xf>
    <xf numFmtId="4" fontId="4" fillId="28" borderId="27" xfId="78" applyNumberFormat="1" applyFont="1" applyFill="1" applyBorder="1" applyAlignment="1">
      <alignment vertical="center"/>
    </xf>
    <xf numFmtId="4" fontId="4" fillId="0" borderId="0" xfId="0" applyNumberFormat="1" applyFont="1" applyBorder="1" applyAlignment="1">
      <alignment vertical="center"/>
    </xf>
    <xf numFmtId="0" fontId="0" fillId="0" borderId="0" xfId="0"/>
    <xf numFmtId="0" fontId="51" fillId="0" borderId="0" xfId="0" applyFont="1" applyAlignment="1">
      <alignment vertical="center"/>
    </xf>
    <xf numFmtId="0" fontId="52" fillId="0" borderId="0" xfId="0" applyFont="1" applyAlignment="1">
      <alignment vertical="center"/>
    </xf>
    <xf numFmtId="3" fontId="48" fillId="31" borderId="42" xfId="56" applyNumberFormat="1" applyFont="1" applyFill="1" applyBorder="1" applyAlignment="1">
      <alignment horizontal="right" vertical="center" indent="1"/>
    </xf>
    <xf numFmtId="3" fontId="48" fillId="31" borderId="12" xfId="56" applyNumberFormat="1" applyFont="1" applyFill="1" applyBorder="1" applyAlignment="1">
      <alignment horizontal="right" vertical="center" indent="1"/>
    </xf>
    <xf numFmtId="3" fontId="48" fillId="31" borderId="15" xfId="56" applyNumberFormat="1" applyFont="1" applyFill="1" applyBorder="1" applyAlignment="1">
      <alignment horizontal="right" vertical="center" indent="1"/>
    </xf>
    <xf numFmtId="10" fontId="48" fillId="32" borderId="27" xfId="56" applyNumberFormat="1" applyFont="1" applyFill="1" applyBorder="1" applyAlignment="1">
      <alignment horizontal="right" vertical="center" indent="1"/>
    </xf>
    <xf numFmtId="3" fontId="47" fillId="32" borderId="14" xfId="56" applyNumberFormat="1" applyFont="1" applyFill="1" applyBorder="1" applyAlignment="1">
      <alignment horizontal="center" vertical="center" wrapText="1"/>
    </xf>
    <xf numFmtId="3" fontId="50" fillId="32" borderId="10" xfId="56" applyNumberFormat="1" applyFont="1" applyFill="1" applyBorder="1" applyAlignment="1">
      <alignment horizontal="right" vertical="center" wrapText="1" indent="1"/>
    </xf>
    <xf numFmtId="3" fontId="50" fillId="32" borderId="15" xfId="56" applyNumberFormat="1" applyFont="1" applyFill="1" applyBorder="1" applyAlignment="1">
      <alignment horizontal="right" vertical="center" wrapText="1" indent="1"/>
    </xf>
    <xf numFmtId="3" fontId="50" fillId="32" borderId="12" xfId="56" applyNumberFormat="1" applyFont="1" applyFill="1" applyBorder="1" applyAlignment="1">
      <alignment horizontal="right" vertical="center" wrapText="1" indent="1"/>
    </xf>
    <xf numFmtId="168" fontId="50" fillId="32" borderId="12" xfId="56" applyNumberFormat="1" applyFont="1" applyFill="1" applyBorder="1" applyAlignment="1">
      <alignment horizontal="right" vertical="center" wrapText="1" indent="1"/>
    </xf>
    <xf numFmtId="10" fontId="48" fillId="32" borderId="42" xfId="56" applyNumberFormat="1" applyFont="1" applyFill="1" applyBorder="1" applyAlignment="1">
      <alignment horizontal="right" vertical="center" indent="1"/>
    </xf>
    <xf numFmtId="10" fontId="48" fillId="32" borderId="12" xfId="56" applyNumberFormat="1" applyFont="1" applyFill="1" applyBorder="1" applyAlignment="1">
      <alignment horizontal="right" vertical="center" indent="1"/>
    </xf>
    <xf numFmtId="10" fontId="48" fillId="32" borderId="47" xfId="56" applyNumberFormat="1" applyFont="1" applyFill="1" applyBorder="1" applyAlignment="1">
      <alignment horizontal="right" vertical="center" indent="1"/>
    </xf>
    <xf numFmtId="168" fontId="50" fillId="32" borderId="15" xfId="56" applyNumberFormat="1" applyFont="1" applyFill="1" applyBorder="1" applyAlignment="1">
      <alignment horizontal="right" vertical="center" wrapText="1" indent="1"/>
    </xf>
    <xf numFmtId="168" fontId="50" fillId="32" borderId="14" xfId="56" applyNumberFormat="1" applyFont="1" applyFill="1" applyBorder="1" applyAlignment="1">
      <alignment horizontal="right" vertical="center" wrapText="1" indent="1"/>
    </xf>
    <xf numFmtId="173" fontId="50" fillId="32" borderId="38" xfId="56" applyNumberFormat="1" applyFont="1" applyFill="1" applyBorder="1" applyAlignment="1">
      <alignment horizontal="right" vertical="center" wrapText="1" indent="1"/>
    </xf>
    <xf numFmtId="173" fontId="50" fillId="32" borderId="38" xfId="78" applyNumberFormat="1" applyFont="1" applyFill="1" applyBorder="1" applyAlignment="1">
      <alignment horizontal="right" vertical="center" wrapText="1" indent="1"/>
    </xf>
    <xf numFmtId="173" fontId="53" fillId="32" borderId="38" xfId="56" applyNumberFormat="1" applyFont="1" applyFill="1" applyBorder="1" applyAlignment="1">
      <alignment horizontal="right" vertical="center" wrapText="1" indent="1"/>
    </xf>
    <xf numFmtId="173" fontId="53" fillId="32" borderId="38" xfId="78" applyNumberFormat="1" applyFont="1" applyFill="1" applyBorder="1" applyAlignment="1">
      <alignment horizontal="right" vertical="center" wrapText="1" indent="1"/>
    </xf>
    <xf numFmtId="10" fontId="47" fillId="29" borderId="17" xfId="56" applyNumberFormat="1" applyFont="1" applyFill="1" applyBorder="1" applyAlignment="1">
      <alignment horizontal="center" vertical="center" wrapText="1"/>
    </xf>
    <xf numFmtId="10" fontId="50" fillId="0" borderId="34" xfId="56" applyNumberFormat="1" applyFont="1" applyFill="1" applyBorder="1" applyAlignment="1">
      <alignment horizontal="right" vertical="center" wrapText="1" indent="1"/>
    </xf>
    <xf numFmtId="10" fontId="50" fillId="29" borderId="34" xfId="56" applyNumberFormat="1" applyFont="1" applyFill="1" applyBorder="1" applyAlignment="1">
      <alignment horizontal="right" vertical="center" wrapText="1" indent="1"/>
    </xf>
    <xf numFmtId="10" fontId="50" fillId="29" borderId="19" xfId="56" applyNumberFormat="1" applyFont="1" applyFill="1" applyBorder="1" applyAlignment="1">
      <alignment horizontal="right" vertical="center" wrapText="1" indent="1"/>
    </xf>
    <xf numFmtId="168" fontId="50" fillId="29" borderId="21" xfId="78" applyNumberFormat="1" applyFont="1" applyFill="1" applyBorder="1" applyAlignment="1">
      <alignment horizontal="right" vertical="center" wrapText="1" indent="1"/>
    </xf>
    <xf numFmtId="168" fontId="50" fillId="29" borderId="17" xfId="78" applyNumberFormat="1" applyFont="1" applyFill="1" applyBorder="1" applyAlignment="1">
      <alignment horizontal="right" vertical="center" wrapText="1" indent="1"/>
    </xf>
    <xf numFmtId="3" fontId="50" fillId="29" borderId="34" xfId="56" applyNumberFormat="1" applyFont="1" applyFill="1" applyBorder="1" applyAlignment="1">
      <alignment horizontal="right" vertical="center" wrapText="1" indent="1"/>
    </xf>
    <xf numFmtId="168" fontId="50" fillId="29" borderId="19" xfId="78" applyNumberFormat="1" applyFont="1" applyFill="1" applyBorder="1" applyAlignment="1">
      <alignment horizontal="right" vertical="center" wrapText="1" indent="1"/>
    </xf>
    <xf numFmtId="168" fontId="50" fillId="29" borderId="19" xfId="56" applyNumberFormat="1" applyFont="1" applyFill="1" applyBorder="1" applyAlignment="1">
      <alignment horizontal="right" vertical="center" wrapText="1" indent="1"/>
    </xf>
    <xf numFmtId="10" fontId="48" fillId="0" borderId="49" xfId="56" applyNumberFormat="1" applyFont="1" applyBorder="1" applyAlignment="1">
      <alignment horizontal="right" vertical="center" indent="1"/>
    </xf>
    <xf numFmtId="10" fontId="48" fillId="0" borderId="19" xfId="56" applyNumberFormat="1" applyFont="1" applyBorder="1" applyAlignment="1">
      <alignment horizontal="right" vertical="center" indent="1"/>
    </xf>
    <xf numFmtId="10" fontId="48" fillId="0" borderId="21" xfId="56" applyNumberFormat="1" applyFont="1" applyBorder="1" applyAlignment="1">
      <alignment horizontal="right" vertical="center" indent="1"/>
    </xf>
    <xf numFmtId="10" fontId="48" fillId="32" borderId="35" xfId="56" applyNumberFormat="1" applyFont="1" applyFill="1" applyBorder="1" applyAlignment="1">
      <alignment horizontal="right" vertical="center" indent="1"/>
    </xf>
    <xf numFmtId="3" fontId="48" fillId="32" borderId="12" xfId="56" applyNumberFormat="1" applyFont="1" applyFill="1" applyBorder="1" applyAlignment="1">
      <alignment horizontal="right" vertical="center" indent="1"/>
    </xf>
    <xf numFmtId="3" fontId="48" fillId="32" borderId="15" xfId="56" applyNumberFormat="1" applyFont="1" applyFill="1" applyBorder="1" applyAlignment="1">
      <alignment horizontal="right" vertical="center" indent="1"/>
    </xf>
    <xf numFmtId="3" fontId="48" fillId="32" borderId="11" xfId="56" applyNumberFormat="1" applyFont="1" applyFill="1" applyBorder="1" applyAlignment="1">
      <alignment horizontal="right" vertical="center" indent="1"/>
    </xf>
    <xf numFmtId="10" fontId="48" fillId="32" borderId="50" xfId="56" applyNumberFormat="1" applyFont="1" applyFill="1" applyBorder="1" applyAlignment="1">
      <alignment horizontal="right" vertical="center" indent="1"/>
    </xf>
    <xf numFmtId="10" fontId="48" fillId="32" borderId="51" xfId="56" applyNumberFormat="1" applyFont="1" applyFill="1" applyBorder="1" applyAlignment="1">
      <alignment horizontal="right" vertical="center" indent="1"/>
    </xf>
    <xf numFmtId="10" fontId="48" fillId="0" borderId="33" xfId="56" applyNumberFormat="1" applyFont="1" applyFill="1" applyBorder="1" applyAlignment="1">
      <alignment horizontal="right" vertical="center" indent="1"/>
    </xf>
    <xf numFmtId="10" fontId="48" fillId="0" borderId="15" xfId="56" applyNumberFormat="1" applyFont="1" applyFill="1" applyBorder="1" applyAlignment="1">
      <alignment horizontal="right" vertical="center" indent="1"/>
    </xf>
    <xf numFmtId="10" fontId="48" fillId="32" borderId="52" xfId="56" applyNumberFormat="1" applyFont="1" applyFill="1" applyBorder="1" applyAlignment="1">
      <alignment horizontal="right" vertical="center" indent="1"/>
    </xf>
    <xf numFmtId="10" fontId="48" fillId="32" borderId="29" xfId="56" applyNumberFormat="1" applyFont="1" applyFill="1" applyBorder="1" applyAlignment="1">
      <alignment horizontal="right" vertical="center" indent="1"/>
    </xf>
    <xf numFmtId="10" fontId="48" fillId="32" borderId="36" xfId="56" applyNumberFormat="1" applyFont="1" applyFill="1" applyBorder="1" applyAlignment="1">
      <alignment horizontal="right" vertical="center" indent="1"/>
    </xf>
    <xf numFmtId="10" fontId="48" fillId="32" borderId="28" xfId="56" applyNumberFormat="1" applyFont="1" applyFill="1" applyBorder="1" applyAlignment="1">
      <alignment horizontal="right" vertical="center" indent="1"/>
    </xf>
    <xf numFmtId="10" fontId="48" fillId="32" borderId="30" xfId="56" applyNumberFormat="1" applyFont="1" applyFill="1" applyBorder="1" applyAlignment="1">
      <alignment horizontal="right" vertical="center" indent="1"/>
    </xf>
    <xf numFmtId="3" fontId="7" fillId="24" borderId="53" xfId="0" applyNumberFormat="1" applyFont="1" applyFill="1" applyBorder="1" applyAlignment="1" applyProtection="1">
      <alignment horizontal="center" vertical="center" wrapText="1"/>
    </xf>
    <xf numFmtId="3" fontId="4" fillId="28" borderId="54" xfId="78" applyNumberFormat="1" applyFont="1" applyFill="1" applyBorder="1" applyAlignment="1">
      <alignment horizontal="center" vertical="center"/>
    </xf>
    <xf numFmtId="3" fontId="4" fillId="27" borderId="54" xfId="78" applyNumberFormat="1" applyFont="1" applyFill="1" applyBorder="1" applyAlignment="1">
      <alignment horizontal="center" vertical="center"/>
    </xf>
    <xf numFmtId="4" fontId="7" fillId="24" borderId="22" xfId="0" applyNumberFormat="1" applyFont="1" applyFill="1" applyBorder="1" applyAlignment="1" applyProtection="1">
      <alignment horizontal="center" vertical="center" wrapText="1"/>
    </xf>
    <xf numFmtId="4" fontId="7" fillId="24" borderId="18" xfId="0" applyNumberFormat="1" applyFont="1" applyFill="1" applyBorder="1" applyAlignment="1" applyProtection="1">
      <alignment horizontal="center" vertical="center" wrapText="1"/>
    </xf>
    <xf numFmtId="4" fontId="4" fillId="28" borderId="26" xfId="78" applyNumberFormat="1" applyFont="1" applyFill="1" applyBorder="1" applyAlignment="1">
      <alignment vertical="center"/>
    </xf>
    <xf numFmtId="4" fontId="4" fillId="28" borderId="32" xfId="78" applyNumberFormat="1" applyFont="1" applyFill="1" applyBorder="1" applyAlignment="1">
      <alignment vertical="center"/>
    </xf>
    <xf numFmtId="167" fontId="4" fillId="32" borderId="38" xfId="78" applyNumberFormat="1" applyFont="1" applyFill="1" applyBorder="1" applyAlignment="1">
      <alignment vertical="center"/>
    </xf>
    <xf numFmtId="167" fontId="7" fillId="32" borderId="14" xfId="0" applyNumberFormat="1" applyFont="1" applyFill="1" applyBorder="1" applyAlignment="1">
      <alignment horizontal="center" vertical="center"/>
    </xf>
    <xf numFmtId="10" fontId="48" fillId="30" borderId="48" xfId="56" applyNumberFormat="1" applyFont="1" applyFill="1" applyBorder="1" applyAlignment="1">
      <alignment horizontal="right" vertical="center" indent="1"/>
    </xf>
    <xf numFmtId="10" fontId="48" fillId="30" borderId="42" xfId="56" applyNumberFormat="1" applyFont="1" applyFill="1" applyBorder="1" applyAlignment="1">
      <alignment horizontal="right" vertical="center" indent="1"/>
    </xf>
    <xf numFmtId="10" fontId="48" fillId="30" borderId="32" xfId="56" applyNumberFormat="1" applyFont="1" applyFill="1" applyBorder="1" applyAlignment="1">
      <alignment horizontal="right" vertical="center" indent="1"/>
    </xf>
    <xf numFmtId="10" fontId="48" fillId="30" borderId="12" xfId="56" applyNumberFormat="1" applyFont="1" applyFill="1" applyBorder="1" applyAlignment="1">
      <alignment horizontal="right" vertical="center" indent="1"/>
    </xf>
    <xf numFmtId="164" fontId="4" fillId="0" borderId="10" xfId="0" applyNumberFormat="1" applyFont="1" applyFill="1" applyBorder="1" applyAlignment="1">
      <alignment horizontal="left" indent="2"/>
    </xf>
    <xf numFmtId="164" fontId="4" fillId="0" borderId="12" xfId="0" applyNumberFormat="1" applyFont="1" applyFill="1" applyBorder="1" applyAlignment="1">
      <alignment horizontal="left" indent="2"/>
    </xf>
    <xf numFmtId="164" fontId="4" fillId="0" borderId="15" xfId="0" applyNumberFormat="1" applyFont="1" applyFill="1" applyBorder="1" applyAlignment="1">
      <alignment horizontal="left" indent="2"/>
    </xf>
    <xf numFmtId="164" fontId="4" fillId="0" borderId="10" xfId="0" applyNumberFormat="1" applyFont="1" applyFill="1" applyBorder="1" applyAlignment="1">
      <alignment horizontal="center"/>
    </xf>
    <xf numFmtId="164" fontId="4" fillId="0" borderId="15" xfId="0" applyNumberFormat="1" applyFont="1" applyFill="1" applyBorder="1" applyAlignment="1">
      <alignment horizontal="center"/>
    </xf>
    <xf numFmtId="164" fontId="4" fillId="0" borderId="34" xfId="0" applyNumberFormat="1" applyFont="1" applyFill="1" applyBorder="1" applyAlignment="1">
      <alignment horizontal="left" indent="1"/>
    </xf>
    <xf numFmtId="164" fontId="4" fillId="0" borderId="19" xfId="0" applyNumberFormat="1" applyFont="1" applyFill="1" applyBorder="1" applyAlignment="1">
      <alignment horizontal="left" indent="1"/>
    </xf>
    <xf numFmtId="164" fontId="4" fillId="0" borderId="21" xfId="0" applyNumberFormat="1" applyFont="1" applyFill="1" applyBorder="1" applyAlignment="1">
      <alignment horizontal="left" indent="1"/>
    </xf>
    <xf numFmtId="0" fontId="4" fillId="0" borderId="0" xfId="0" applyFont="1"/>
    <xf numFmtId="0" fontId="4" fillId="0" borderId="14" xfId="0" applyFont="1" applyBorder="1" applyAlignment="1">
      <alignment horizontal="center"/>
    </xf>
    <xf numFmtId="0" fontId="4" fillId="0" borderId="14" xfId="0" applyFont="1" applyBorder="1"/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  <xf numFmtId="9" fontId="9" fillId="0" borderId="0" xfId="78" applyFont="1"/>
    <xf numFmtId="9" fontId="4" fillId="0" borderId="0" xfId="78" applyFont="1" applyBorder="1" applyAlignment="1">
      <alignment vertical="center"/>
    </xf>
    <xf numFmtId="9" fontId="4" fillId="0" borderId="0" xfId="78" applyFont="1" applyAlignment="1">
      <alignment vertical="center"/>
    </xf>
    <xf numFmtId="10" fontId="9" fillId="0" borderId="0" xfId="78" applyNumberFormat="1" applyFont="1"/>
    <xf numFmtId="10" fontId="7" fillId="24" borderId="22" xfId="78" applyNumberFormat="1" applyFont="1" applyFill="1" applyBorder="1" applyAlignment="1" applyProtection="1">
      <alignment horizontal="center" vertical="center" wrapText="1"/>
    </xf>
    <xf numFmtId="10" fontId="7" fillId="24" borderId="23" xfId="78" applyNumberFormat="1" applyFont="1" applyFill="1" applyBorder="1" applyAlignment="1" applyProtection="1">
      <alignment horizontal="center" vertical="center" wrapText="1"/>
    </xf>
    <xf numFmtId="10" fontId="7" fillId="24" borderId="24" xfId="78" applyNumberFormat="1" applyFont="1" applyFill="1" applyBorder="1" applyAlignment="1" applyProtection="1">
      <alignment horizontal="center" vertical="center" wrapText="1"/>
    </xf>
    <xf numFmtId="10" fontId="4" fillId="28" borderId="26" xfId="78" applyNumberFormat="1" applyFont="1" applyFill="1" applyBorder="1" applyAlignment="1">
      <alignment vertical="center"/>
    </xf>
    <xf numFmtId="10" fontId="4" fillId="28" borderId="27" xfId="78" applyNumberFormat="1" applyFont="1" applyFill="1" applyBorder="1" applyAlignment="1">
      <alignment vertical="center"/>
    </xf>
    <xf numFmtId="10" fontId="4" fillId="28" borderId="29" xfId="78" applyNumberFormat="1" applyFont="1" applyFill="1" applyBorder="1" applyAlignment="1">
      <alignment vertical="center"/>
    </xf>
    <xf numFmtId="10" fontId="4" fillId="0" borderId="26" xfId="78" applyNumberFormat="1" applyFont="1" applyFill="1" applyBorder="1" applyAlignment="1">
      <alignment vertical="center"/>
    </xf>
    <xf numFmtId="10" fontId="4" fillId="0" borderId="27" xfId="78" applyNumberFormat="1" applyFont="1" applyFill="1" applyBorder="1" applyAlignment="1">
      <alignment vertical="center"/>
    </xf>
    <xf numFmtId="10" fontId="4" fillId="0" borderId="29" xfId="78" applyNumberFormat="1" applyFont="1" applyFill="1" applyBorder="1" applyAlignment="1">
      <alignment vertical="center"/>
    </xf>
    <xf numFmtId="10" fontId="4" fillId="0" borderId="0" xfId="78" applyNumberFormat="1" applyFont="1" applyBorder="1" applyAlignment="1">
      <alignment vertical="center"/>
    </xf>
    <xf numFmtId="10" fontId="4" fillId="0" borderId="0" xfId="78" applyNumberFormat="1" applyFont="1" applyAlignment="1">
      <alignment vertical="center"/>
    </xf>
    <xf numFmtId="9" fontId="7" fillId="27" borderId="14" xfId="78" applyFont="1" applyFill="1" applyBorder="1" applyAlignment="1">
      <alignment horizontal="center" vertical="center"/>
    </xf>
    <xf numFmtId="9" fontId="4" fillId="0" borderId="12" xfId="78" applyFont="1" applyFill="1" applyBorder="1" applyAlignment="1">
      <alignment vertical="center"/>
    </xf>
    <xf numFmtId="9" fontId="4" fillId="28" borderId="12" xfId="78" applyFont="1" applyFill="1" applyBorder="1" applyAlignment="1">
      <alignment vertical="center"/>
    </xf>
    <xf numFmtId="9" fontId="7" fillId="29" borderId="14" xfId="78" applyFont="1" applyFill="1" applyBorder="1" applyAlignment="1" applyProtection="1">
      <alignment horizontal="center" vertical="center" wrapText="1"/>
    </xf>
    <xf numFmtId="3" fontId="7" fillId="24" borderId="16" xfId="0" applyNumberFormat="1" applyFont="1" applyFill="1" applyBorder="1" applyAlignment="1" applyProtection="1">
      <alignment horizontal="center" vertical="center" wrapText="1"/>
    </xf>
    <xf numFmtId="3" fontId="4" fillId="28" borderId="54" xfId="78" applyNumberFormat="1" applyFont="1" applyFill="1" applyBorder="1" applyAlignment="1">
      <alignment vertical="center"/>
    </xf>
    <xf numFmtId="3" fontId="4" fillId="28" borderId="12" xfId="78" applyNumberFormat="1" applyFont="1" applyFill="1" applyBorder="1" applyAlignment="1">
      <alignment horizontal="center" vertical="center"/>
    </xf>
    <xf numFmtId="3" fontId="4" fillId="27" borderId="12" xfId="78" applyNumberFormat="1" applyFont="1" applyFill="1" applyBorder="1" applyAlignment="1">
      <alignment horizontal="center" vertical="center"/>
    </xf>
    <xf numFmtId="167" fontId="7" fillId="24" borderId="53" xfId="0" applyNumberFormat="1" applyFont="1" applyFill="1" applyBorder="1" applyAlignment="1" applyProtection="1">
      <alignment horizontal="center" vertical="center" wrapText="1"/>
    </xf>
    <xf numFmtId="167" fontId="4" fillId="28" borderId="58" xfId="78" applyNumberFormat="1" applyFont="1" applyFill="1" applyBorder="1" applyAlignment="1">
      <alignment vertical="center"/>
    </xf>
    <xf numFmtId="167" fontId="4" fillId="0" borderId="58" xfId="78" applyNumberFormat="1" applyFont="1" applyFill="1" applyBorder="1" applyAlignment="1">
      <alignment vertical="center"/>
    </xf>
    <xf numFmtId="3" fontId="4" fillId="28" borderId="12" xfId="78" applyNumberFormat="1" applyFont="1" applyFill="1" applyBorder="1" applyAlignment="1">
      <alignment vertical="center"/>
    </xf>
    <xf numFmtId="3" fontId="4" fillId="0" borderId="12" xfId="78" applyNumberFormat="1" applyFont="1" applyFill="1" applyBorder="1" applyAlignment="1">
      <alignment vertical="center"/>
    </xf>
    <xf numFmtId="172" fontId="7" fillId="24" borderId="14" xfId="0" applyNumberFormat="1" applyFont="1" applyFill="1" applyBorder="1" applyAlignment="1" applyProtection="1">
      <alignment horizontal="center" vertical="center" wrapText="1"/>
    </xf>
    <xf numFmtId="172" fontId="4" fillId="28" borderId="12" xfId="78" applyNumberFormat="1" applyFont="1" applyFill="1" applyBorder="1" applyAlignment="1">
      <alignment horizontal="right" vertical="center" indent="1"/>
    </xf>
    <xf numFmtId="172" fontId="4" fillId="0" borderId="12" xfId="78" applyNumberFormat="1" applyFont="1" applyFill="1" applyBorder="1" applyAlignment="1">
      <alignment horizontal="right" vertical="center" indent="1"/>
    </xf>
    <xf numFmtId="167" fontId="4" fillId="32" borderId="14" xfId="78" applyNumberFormat="1" applyFont="1" applyFill="1" applyBorder="1" applyAlignment="1">
      <alignment vertical="center"/>
    </xf>
    <xf numFmtId="165" fontId="9" fillId="0" borderId="10" xfId="84" applyNumberFormat="1" applyFont="1" applyFill="1" applyBorder="1" applyAlignment="1">
      <alignment horizontal="right" vertical="center" indent="1"/>
    </xf>
    <xf numFmtId="165" fontId="9" fillId="0" borderId="12" xfId="84" applyNumberFormat="1" applyFont="1" applyFill="1" applyBorder="1" applyAlignment="1">
      <alignment horizontal="right" vertical="center" indent="1"/>
    </xf>
    <xf numFmtId="165" fontId="9" fillId="0" borderId="15" xfId="84" applyNumberFormat="1" applyFont="1" applyFill="1" applyBorder="1" applyAlignment="1">
      <alignment horizontal="right" vertical="center" indent="1"/>
    </xf>
    <xf numFmtId="0" fontId="9" fillId="0" borderId="12" xfId="0" applyFont="1" applyFill="1" applyBorder="1" applyAlignment="1">
      <alignment horizontal="left" vertical="center" indent="1"/>
    </xf>
    <xf numFmtId="0" fontId="9" fillId="0" borderId="12" xfId="0" applyFont="1" applyFill="1" applyBorder="1" applyAlignment="1">
      <alignment horizontal="center" vertical="center"/>
    </xf>
    <xf numFmtId="3" fontId="9" fillId="0" borderId="12" xfId="0" applyNumberFormat="1" applyFont="1" applyFill="1" applyBorder="1" applyAlignment="1">
      <alignment horizontal="right" vertical="center" indent="1"/>
    </xf>
    <xf numFmtId="4" fontId="9" fillId="0" borderId="12" xfId="0" applyNumberFormat="1" applyFont="1" applyFill="1" applyBorder="1" applyAlignment="1">
      <alignment horizontal="right" vertical="center" indent="1"/>
    </xf>
    <xf numFmtId="0" fontId="9" fillId="0" borderId="11" xfId="0" applyFont="1" applyFill="1" applyBorder="1" applyAlignment="1">
      <alignment horizontal="center" vertical="center"/>
    </xf>
    <xf numFmtId="3" fontId="9" fillId="0" borderId="11" xfId="0" applyNumberFormat="1" applyFont="1" applyFill="1" applyBorder="1" applyAlignment="1">
      <alignment horizontal="right" vertical="center" indent="1"/>
    </xf>
    <xf numFmtId="0" fontId="9" fillId="0" borderId="11" xfId="0" applyFont="1" applyFill="1" applyBorder="1" applyAlignment="1">
      <alignment horizontal="left" vertical="center" indent="1"/>
    </xf>
    <xf numFmtId="4" fontId="9" fillId="0" borderId="11" xfId="0" applyNumberFormat="1" applyFont="1" applyFill="1" applyBorder="1" applyAlignment="1">
      <alignment horizontal="right" vertical="center" indent="1"/>
    </xf>
    <xf numFmtId="9" fontId="9" fillId="0" borderId="12" xfId="78" applyFont="1" applyFill="1" applyBorder="1" applyAlignment="1">
      <alignment horizontal="right" vertical="center" indent="1"/>
    </xf>
    <xf numFmtId="0" fontId="9" fillId="0" borderId="12" xfId="0" applyFont="1" applyFill="1" applyBorder="1" applyAlignment="1">
      <alignment horizontal="left" vertical="center" wrapText="1" indent="1"/>
    </xf>
    <xf numFmtId="0" fontId="6" fillId="0" borderId="12" xfId="0" applyFont="1" applyFill="1" applyBorder="1" applyAlignment="1">
      <alignment horizontal="right" vertical="center" wrapText="1" indent="1"/>
    </xf>
    <xf numFmtId="3" fontId="9" fillId="0" borderId="12" xfId="0" applyNumberFormat="1" applyFont="1" applyFill="1" applyBorder="1" applyAlignment="1">
      <alignment horizontal="left" vertical="center" wrapText="1"/>
    </xf>
    <xf numFmtId="3" fontId="9" fillId="0" borderId="12" xfId="0" applyNumberFormat="1" applyFont="1" applyFill="1" applyBorder="1" applyAlignment="1">
      <alignment horizontal="right" vertical="center" wrapText="1" indent="1"/>
    </xf>
    <xf numFmtId="9" fontId="9" fillId="0" borderId="0" xfId="78" applyFont="1" applyAlignment="1">
      <alignment vertical="center"/>
    </xf>
    <xf numFmtId="9" fontId="9" fillId="0" borderId="0" xfId="78" applyFont="1" applyFill="1" applyAlignment="1">
      <alignment vertical="center"/>
    </xf>
    <xf numFmtId="0" fontId="6" fillId="0" borderId="0" xfId="0" applyFont="1"/>
    <xf numFmtId="0" fontId="9" fillId="0" borderId="0" xfId="0" applyFont="1" applyFill="1"/>
    <xf numFmtId="2" fontId="9" fillId="0" borderId="0" xfId="0" applyNumberFormat="1" applyFont="1"/>
    <xf numFmtId="9" fontId="9" fillId="0" borderId="0" xfId="78" applyFont="1" applyFill="1"/>
    <xf numFmtId="0" fontId="11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8" fillId="0" borderId="0" xfId="0" applyFont="1"/>
    <xf numFmtId="0" fontId="9" fillId="0" borderId="0" xfId="0" applyFont="1" applyAlignment="1">
      <alignment wrapText="1"/>
    </xf>
    <xf numFmtId="0" fontId="9" fillId="0" borderId="0" xfId="0" applyFont="1" applyFill="1" applyAlignment="1">
      <alignment wrapText="1"/>
    </xf>
    <xf numFmtId="9" fontId="9" fillId="0" borderId="15" xfId="0" applyNumberFormat="1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9" fontId="9" fillId="0" borderId="10" xfId="0" applyNumberFormat="1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9" fontId="9" fillId="0" borderId="38" xfId="0" applyNumberFormat="1" applyFont="1" applyBorder="1" applyAlignment="1">
      <alignment horizontal="center"/>
    </xf>
    <xf numFmtId="0" fontId="9" fillId="0" borderId="38" xfId="0" applyFont="1" applyBorder="1" applyAlignment="1">
      <alignment horizontal="center"/>
    </xf>
    <xf numFmtId="0" fontId="9" fillId="0" borderId="0" xfId="0" applyFont="1" applyBorder="1"/>
    <xf numFmtId="0" fontId="52" fillId="0" borderId="0" xfId="0" applyFont="1"/>
    <xf numFmtId="0" fontId="6" fillId="28" borderId="14" xfId="0" applyFont="1" applyFill="1" applyBorder="1" applyAlignment="1">
      <alignment horizontal="center" vertical="center" wrapText="1"/>
    </xf>
    <xf numFmtId="3" fontId="6" fillId="28" borderId="14" xfId="0" applyNumberFormat="1" applyFont="1" applyFill="1" applyBorder="1" applyAlignment="1">
      <alignment horizontal="center" vertical="center" wrapText="1"/>
    </xf>
    <xf numFmtId="9" fontId="6" fillId="28" borderId="14" xfId="78" applyFont="1" applyFill="1" applyBorder="1" applyAlignment="1">
      <alignment horizontal="center" vertical="center" wrapText="1"/>
    </xf>
    <xf numFmtId="0" fontId="6" fillId="28" borderId="17" xfId="0" applyFont="1" applyFill="1" applyBorder="1" applyAlignment="1">
      <alignment horizontal="left" vertical="center" indent="1"/>
    </xf>
    <xf numFmtId="0" fontId="9" fillId="28" borderId="16" xfId="0" applyFont="1" applyFill="1" applyBorder="1" applyAlignment="1">
      <alignment horizontal="left" vertical="center" indent="1"/>
    </xf>
    <xf numFmtId="0" fontId="9" fillId="28" borderId="16" xfId="0" applyFont="1" applyFill="1" applyBorder="1" applyAlignment="1">
      <alignment vertical="center"/>
    </xf>
    <xf numFmtId="9" fontId="9" fillId="28" borderId="16" xfId="78" applyFont="1" applyFill="1" applyBorder="1" applyAlignment="1">
      <alignment vertical="center"/>
    </xf>
    <xf numFmtId="3" fontId="9" fillId="28" borderId="18" xfId="0" applyNumberFormat="1" applyFont="1" applyFill="1" applyBorder="1" applyAlignment="1">
      <alignment horizontal="left" vertical="center"/>
    </xf>
    <xf numFmtId="0" fontId="6" fillId="28" borderId="14" xfId="0" applyFont="1" applyFill="1" applyBorder="1" applyAlignment="1">
      <alignment horizontal="center" vertical="center"/>
    </xf>
    <xf numFmtId="0" fontId="9" fillId="28" borderId="16" xfId="0" applyFont="1" applyFill="1" applyBorder="1" applyAlignment="1">
      <alignment horizontal="center" vertical="center"/>
    </xf>
    <xf numFmtId="168" fontId="4" fillId="0" borderId="14" xfId="0" applyNumberFormat="1" applyFont="1" applyBorder="1" applyAlignment="1">
      <alignment horizontal="center" vertical="center"/>
    </xf>
    <xf numFmtId="3" fontId="9" fillId="0" borderId="12" xfId="0" applyNumberFormat="1" applyFont="1" applyFill="1" applyBorder="1" applyAlignment="1">
      <alignment horizontal="left" vertical="center" wrapText="1" indent="1"/>
    </xf>
    <xf numFmtId="3" fontId="9" fillId="0" borderId="12" xfId="0" applyNumberFormat="1" applyFont="1" applyFill="1" applyBorder="1" applyAlignment="1">
      <alignment horizontal="left" vertical="center" indent="1"/>
    </xf>
    <xf numFmtId="3" fontId="9" fillId="0" borderId="11" xfId="0" applyNumberFormat="1" applyFont="1" applyFill="1" applyBorder="1" applyAlignment="1">
      <alignment horizontal="left" vertical="center" wrapText="1" indent="1"/>
    </xf>
    <xf numFmtId="0" fontId="9" fillId="33" borderId="10" xfId="77" applyFont="1" applyFill="1" applyBorder="1" applyAlignment="1">
      <alignment horizontal="center" vertical="center" wrapText="1"/>
    </xf>
    <xf numFmtId="9" fontId="9" fillId="33" borderId="10" xfId="78" applyFont="1" applyFill="1" applyBorder="1" applyAlignment="1">
      <alignment horizontal="center" vertical="center" wrapText="1"/>
    </xf>
    <xf numFmtId="0" fontId="9" fillId="33" borderId="10" xfId="0" applyFont="1" applyFill="1" applyBorder="1" applyAlignment="1">
      <alignment horizontal="center" vertical="center" wrapText="1"/>
    </xf>
    <xf numFmtId="0" fontId="9" fillId="33" borderId="15" xfId="77" applyFont="1" applyFill="1" applyBorder="1" applyAlignment="1">
      <alignment horizontal="center" vertical="center" wrapText="1"/>
    </xf>
    <xf numFmtId="9" fontId="9" fillId="33" borderId="15" xfId="78" applyFont="1" applyFill="1" applyBorder="1" applyAlignment="1">
      <alignment horizontal="center" vertical="center" wrapText="1"/>
    </xf>
    <xf numFmtId="0" fontId="9" fillId="33" borderId="15" xfId="0" applyFont="1" applyFill="1" applyBorder="1" applyAlignment="1">
      <alignment horizontal="left" vertical="center" wrapText="1"/>
    </xf>
    <xf numFmtId="0" fontId="9" fillId="33" borderId="12" xfId="77" applyFont="1" applyFill="1" applyBorder="1" applyAlignment="1">
      <alignment horizontal="center" vertical="center" wrapText="1"/>
    </xf>
    <xf numFmtId="3" fontId="9" fillId="28" borderId="18" xfId="0" applyNumberFormat="1" applyFont="1" applyFill="1" applyBorder="1" applyAlignment="1">
      <alignment horizontal="left" vertical="center" wrapText="1"/>
    </xf>
    <xf numFmtId="9" fontId="9" fillId="33" borderId="12" xfId="78" applyFont="1" applyFill="1" applyBorder="1" applyAlignment="1">
      <alignment horizontal="center" vertical="center" wrapText="1"/>
    </xf>
    <xf numFmtId="0" fontId="63" fillId="0" borderId="0" xfId="0" applyFont="1"/>
    <xf numFmtId="4" fontId="4" fillId="0" borderId="26" xfId="78" applyNumberFormat="1" applyFont="1" applyFill="1" applyBorder="1" applyAlignment="1">
      <alignment vertical="center"/>
    </xf>
    <xf numFmtId="4" fontId="4" fillId="0" borderId="27" xfId="78" applyNumberFormat="1" applyFont="1" applyFill="1" applyBorder="1" applyAlignment="1">
      <alignment vertical="center"/>
    </xf>
    <xf numFmtId="4" fontId="4" fillId="0" borderId="32" xfId="78" applyNumberFormat="1" applyFont="1" applyFill="1" applyBorder="1" applyAlignment="1">
      <alignment vertical="center"/>
    </xf>
    <xf numFmtId="3" fontId="4" fillId="0" borderId="35" xfId="78" applyNumberFormat="1" applyFont="1" applyFill="1" applyBorder="1" applyAlignment="1">
      <alignment vertical="center"/>
    </xf>
    <xf numFmtId="3" fontId="4" fillId="0" borderId="27" xfId="78" applyNumberFormat="1" applyFont="1" applyFill="1" applyBorder="1" applyAlignment="1">
      <alignment vertical="center"/>
    </xf>
    <xf numFmtId="3" fontId="9" fillId="0" borderId="0" xfId="0" applyNumberFormat="1" applyFont="1"/>
    <xf numFmtId="3" fontId="4" fillId="0" borderId="54" xfId="78" applyNumberFormat="1" applyFont="1" applyFill="1" applyBorder="1" applyAlignment="1">
      <alignment vertical="center"/>
    </xf>
    <xf numFmtId="0" fontId="7" fillId="35" borderId="12" xfId="0" applyNumberFormat="1" applyFont="1" applyFill="1" applyBorder="1" applyAlignment="1">
      <alignment horizontal="left" vertical="center" indent="1"/>
    </xf>
    <xf numFmtId="0" fontId="4" fillId="0" borderId="0" xfId="0" applyFont="1" applyAlignment="1" applyProtection="1">
      <alignment vertical="center"/>
      <protection locked="0" hidden="1"/>
    </xf>
    <xf numFmtId="4" fontId="4" fillId="0" borderId="0" xfId="0" applyNumberFormat="1" applyFont="1" applyAlignment="1" applyProtection="1">
      <alignment horizontal="right" vertical="center"/>
      <protection locked="0" hidden="1"/>
    </xf>
    <xf numFmtId="0" fontId="4" fillId="0" borderId="0" xfId="0" applyFont="1" applyProtection="1">
      <protection locked="0" hidden="1"/>
    </xf>
    <xf numFmtId="174" fontId="4" fillId="0" borderId="0" xfId="0" applyNumberFormat="1" applyFont="1" applyAlignment="1" applyProtection="1">
      <alignment vertical="center"/>
      <protection locked="0" hidden="1"/>
    </xf>
    <xf numFmtId="174" fontId="4" fillId="0" borderId="0" xfId="0" applyNumberFormat="1" applyFont="1" applyProtection="1">
      <protection locked="0" hidden="1"/>
    </xf>
    <xf numFmtId="0" fontId="4" fillId="0" borderId="0" xfId="0" applyFont="1" applyAlignment="1" applyProtection="1">
      <alignment horizontal="left" vertical="center" indent="1"/>
      <protection locked="0" hidden="1"/>
    </xf>
    <xf numFmtId="0" fontId="9" fillId="0" borderId="0" xfId="0" applyFont="1" applyProtection="1">
      <protection locked="0" hidden="1"/>
    </xf>
    <xf numFmtId="174" fontId="9" fillId="0" borderId="0" xfId="0" applyNumberFormat="1" applyFont="1" applyProtection="1">
      <protection locked="0" hidden="1"/>
    </xf>
    <xf numFmtId="0" fontId="45" fillId="0" borderId="0" xfId="0" applyFont="1" applyAlignment="1" applyProtection="1">
      <alignment vertical="center"/>
      <protection locked="0" hidden="1"/>
    </xf>
    <xf numFmtId="10" fontId="6" fillId="29" borderId="10" xfId="0" applyNumberFormat="1" applyFont="1" applyFill="1" applyBorder="1" applyAlignment="1" applyProtection="1">
      <alignment horizontal="center" vertical="center"/>
      <protection locked="0" hidden="1"/>
    </xf>
    <xf numFmtId="4" fontId="4" fillId="29" borderId="34" xfId="0" applyNumberFormat="1" applyFont="1" applyFill="1" applyBorder="1" applyAlignment="1" applyProtection="1">
      <alignment horizontal="right" vertical="center"/>
      <protection locked="0" hidden="1"/>
    </xf>
    <xf numFmtId="4" fontId="4" fillId="29" borderId="57" xfId="0" applyNumberFormat="1" applyFont="1" applyFill="1" applyBorder="1" applyAlignment="1" applyProtection="1">
      <alignment horizontal="right" vertical="center"/>
      <protection locked="0" hidden="1"/>
    </xf>
    <xf numFmtId="0" fontId="46" fillId="29" borderId="31" xfId="0" applyFont="1" applyFill="1" applyBorder="1" applyAlignment="1" applyProtection="1">
      <alignment horizontal="right" vertical="center"/>
      <protection locked="0" hidden="1"/>
    </xf>
    <xf numFmtId="4" fontId="4" fillId="29" borderId="19" xfId="0" applyNumberFormat="1" applyFont="1" applyFill="1" applyBorder="1" applyAlignment="1" applyProtection="1">
      <alignment horizontal="right" vertical="center"/>
      <protection locked="0" hidden="1"/>
    </xf>
    <xf numFmtId="4" fontId="4" fillId="29" borderId="54" xfId="0" applyNumberFormat="1" applyFont="1" applyFill="1" applyBorder="1" applyAlignment="1" applyProtection="1">
      <alignment horizontal="right" vertical="center"/>
      <protection locked="0" hidden="1"/>
    </xf>
    <xf numFmtId="0" fontId="46" fillId="29" borderId="32" xfId="0" applyFont="1" applyFill="1" applyBorder="1" applyAlignment="1" applyProtection="1">
      <alignment horizontal="right" vertical="center"/>
      <protection locked="0" hidden="1"/>
    </xf>
    <xf numFmtId="174" fontId="9" fillId="29" borderId="63" xfId="0" applyNumberFormat="1" applyFont="1" applyFill="1" applyBorder="1" applyAlignment="1" applyProtection="1">
      <alignment horizontal="right" indent="1"/>
      <protection locked="0" hidden="1"/>
    </xf>
    <xf numFmtId="9" fontId="6" fillId="0" borderId="32" xfId="0" applyNumberFormat="1" applyFont="1" applyFill="1" applyBorder="1" applyAlignment="1" applyProtection="1">
      <alignment horizontal="right" vertical="center" indent="1"/>
      <protection locked="0" hidden="1"/>
    </xf>
    <xf numFmtId="0" fontId="59" fillId="0" borderId="0" xfId="0" applyFont="1" applyAlignment="1" applyProtection="1">
      <alignment horizontal="left" vertical="center" indent="1"/>
      <protection locked="0" hidden="1"/>
    </xf>
    <xf numFmtId="4" fontId="4" fillId="29" borderId="21" xfId="0" applyNumberFormat="1" applyFont="1" applyFill="1" applyBorder="1" applyAlignment="1" applyProtection="1">
      <alignment horizontal="right" vertical="center"/>
      <protection locked="0" hidden="1"/>
    </xf>
    <xf numFmtId="4" fontId="4" fillId="29" borderId="55" xfId="0" applyNumberFormat="1" applyFont="1" applyFill="1" applyBorder="1" applyAlignment="1" applyProtection="1">
      <alignment horizontal="right" vertical="center"/>
      <protection locked="0" hidden="1"/>
    </xf>
    <xf numFmtId="0" fontId="46" fillId="29" borderId="33" xfId="0" applyFont="1" applyFill="1" applyBorder="1" applyAlignment="1" applyProtection="1">
      <alignment horizontal="right" vertical="center"/>
      <protection locked="0" hidden="1"/>
    </xf>
    <xf numFmtId="0" fontId="15" fillId="0" borderId="0" xfId="0" applyFont="1" applyBorder="1" applyAlignment="1" applyProtection="1">
      <alignment vertical="center" wrapText="1"/>
      <protection locked="0" hidden="1"/>
    </xf>
    <xf numFmtId="0" fontId="61" fillId="29" borderId="32" xfId="0" applyFont="1" applyFill="1" applyBorder="1" applyAlignment="1" applyProtection="1">
      <alignment horizontal="right" vertical="center"/>
      <protection locked="0" hidden="1"/>
    </xf>
    <xf numFmtId="0" fontId="5" fillId="0" borderId="0" xfId="0" applyFont="1" applyAlignment="1" applyProtection="1">
      <alignment vertical="center"/>
      <protection locked="0" hidden="1"/>
    </xf>
    <xf numFmtId="174" fontId="9" fillId="29" borderId="62" xfId="0" applyNumberFormat="1" applyFont="1" applyFill="1" applyBorder="1" applyAlignment="1" applyProtection="1">
      <alignment horizontal="right" indent="1"/>
      <protection locked="0" hidden="1"/>
    </xf>
    <xf numFmtId="0" fontId="14" fillId="0" borderId="0" xfId="0" applyFont="1" applyAlignment="1" applyProtection="1">
      <alignment horizontal="right" vertical="center"/>
      <protection locked="0" hidden="1"/>
    </xf>
    <xf numFmtId="0" fontId="52" fillId="0" borderId="0" xfId="0" applyFont="1" applyAlignment="1" applyProtection="1">
      <alignment vertical="center"/>
      <protection locked="0" hidden="1"/>
    </xf>
    <xf numFmtId="4" fontId="46" fillId="29" borderId="14" xfId="0" applyNumberFormat="1" applyFont="1" applyFill="1" applyBorder="1" applyAlignment="1" applyProtection="1">
      <alignment horizontal="center" vertical="center" wrapText="1"/>
      <protection locked="0" hidden="1"/>
    </xf>
    <xf numFmtId="3" fontId="46" fillId="29" borderId="14" xfId="0" applyNumberFormat="1" applyFont="1" applyFill="1" applyBorder="1" applyAlignment="1" applyProtection="1">
      <alignment horizontal="center" vertical="center" wrapText="1"/>
      <protection locked="0" hidden="1"/>
    </xf>
    <xf numFmtId="3" fontId="46" fillId="29" borderId="17" xfId="0" applyNumberFormat="1" applyFont="1" applyFill="1" applyBorder="1" applyAlignment="1" applyProtection="1">
      <alignment horizontal="center" vertical="center" wrapText="1"/>
      <protection locked="0" hidden="1"/>
    </xf>
    <xf numFmtId="0" fontId="7" fillId="29" borderId="66" xfId="0" applyFont="1" applyFill="1" applyBorder="1" applyAlignment="1" applyProtection="1">
      <alignment horizontal="center" vertical="center"/>
      <protection locked="0" hidden="1"/>
    </xf>
    <xf numFmtId="0" fontId="7" fillId="29" borderId="14" xfId="0" applyFont="1" applyFill="1" applyBorder="1" applyAlignment="1" applyProtection="1">
      <alignment horizontal="center" vertical="center"/>
      <protection locked="0" hidden="1"/>
    </xf>
    <xf numFmtId="0" fontId="7" fillId="29" borderId="67" xfId="0" applyFont="1" applyFill="1" applyBorder="1" applyAlignment="1" applyProtection="1">
      <alignment horizontal="center" vertical="center"/>
      <protection locked="0" hidden="1"/>
    </xf>
    <xf numFmtId="3" fontId="6" fillId="29" borderId="14" xfId="0" applyNumberFormat="1" applyFont="1" applyFill="1" applyBorder="1" applyAlignment="1" applyProtection="1">
      <alignment horizontal="center" vertical="center" wrapText="1"/>
      <protection locked="0" hidden="1"/>
    </xf>
    <xf numFmtId="3" fontId="6" fillId="29" borderId="18" xfId="0" applyNumberFormat="1" applyFont="1" applyFill="1" applyBorder="1" applyAlignment="1" applyProtection="1">
      <alignment horizontal="center" vertical="center" wrapText="1"/>
      <protection locked="0" hidden="1"/>
    </xf>
    <xf numFmtId="174" fontId="6" fillId="29" borderId="14" xfId="0" applyNumberFormat="1" applyFont="1" applyFill="1" applyBorder="1" applyAlignment="1" applyProtection="1">
      <alignment horizontal="center" vertical="center" wrapText="1"/>
      <protection locked="0" hidden="1"/>
    </xf>
    <xf numFmtId="174" fontId="7" fillId="29" borderId="14" xfId="0" applyNumberFormat="1" applyFont="1" applyFill="1" applyBorder="1" applyAlignment="1" applyProtection="1">
      <alignment horizontal="center" vertical="center"/>
      <protection locked="0" hidden="1"/>
    </xf>
    <xf numFmtId="3" fontId="6" fillId="29" borderId="14" xfId="0" applyNumberFormat="1" applyFont="1" applyFill="1" applyBorder="1" applyAlignment="1" applyProtection="1">
      <alignment horizontal="center" vertical="center"/>
      <protection locked="0" hidden="1"/>
    </xf>
    <xf numFmtId="0" fontId="11" fillId="0" borderId="0" xfId="0" applyFont="1" applyAlignment="1" applyProtection="1">
      <alignment vertical="center"/>
      <protection locked="0" hidden="1"/>
    </xf>
    <xf numFmtId="0" fontId="6" fillId="28" borderId="34" xfId="0" applyFont="1" applyFill="1" applyBorder="1" applyAlignment="1" applyProtection="1">
      <alignment horizontal="left" vertical="center" indent="2"/>
      <protection locked="0" hidden="1"/>
    </xf>
    <xf numFmtId="4" fontId="9" fillId="0" borderId="34" xfId="0" applyNumberFormat="1" applyFont="1" applyFill="1" applyBorder="1" applyAlignment="1" applyProtection="1">
      <alignment horizontal="right" vertical="center" indent="1"/>
      <protection locked="0" hidden="1"/>
    </xf>
    <xf numFmtId="4" fontId="6" fillId="0" borderId="34" xfId="0" applyNumberFormat="1" applyFont="1" applyFill="1" applyBorder="1" applyAlignment="1" applyProtection="1">
      <alignment horizontal="right" vertical="center" indent="1"/>
      <protection locked="0" hidden="1"/>
    </xf>
    <xf numFmtId="3" fontId="6" fillId="0" borderId="10" xfId="0" applyNumberFormat="1" applyFont="1" applyFill="1" applyBorder="1" applyAlignment="1" applyProtection="1">
      <alignment horizontal="right" vertical="center" indent="1"/>
      <protection locked="0" hidden="1"/>
    </xf>
    <xf numFmtId="3" fontId="6" fillId="0" borderId="34" xfId="0" applyNumberFormat="1" applyFont="1" applyFill="1" applyBorder="1" applyAlignment="1" applyProtection="1">
      <alignment horizontal="right" vertical="center" indent="1"/>
      <protection locked="0" hidden="1"/>
    </xf>
    <xf numFmtId="10" fontId="4" fillId="0" borderId="68" xfId="78" applyNumberFormat="1" applyFont="1" applyFill="1" applyBorder="1" applyAlignment="1" applyProtection="1">
      <alignment horizontal="right" vertical="center"/>
      <protection locked="0" hidden="1"/>
    </xf>
    <xf numFmtId="10" fontId="4" fillId="0" borderId="10" xfId="78" applyNumberFormat="1" applyFont="1" applyFill="1" applyBorder="1" applyAlignment="1" applyProtection="1">
      <alignment horizontal="right" vertical="center"/>
      <protection locked="0" hidden="1"/>
    </xf>
    <xf numFmtId="10" fontId="4" fillId="0" borderId="69" xfId="78" applyNumberFormat="1" applyFont="1" applyFill="1" applyBorder="1" applyAlignment="1" applyProtection="1">
      <alignment horizontal="right" vertical="center"/>
      <protection locked="0" hidden="1"/>
    </xf>
    <xf numFmtId="171" fontId="6" fillId="0" borderId="31" xfId="0" applyNumberFormat="1" applyFont="1" applyFill="1" applyBorder="1" applyAlignment="1" applyProtection="1">
      <alignment horizontal="right" vertical="center" indent="1"/>
      <protection locked="0" hidden="1"/>
    </xf>
    <xf numFmtId="0" fontId="9" fillId="0" borderId="10" xfId="0" applyNumberFormat="1" applyFont="1" applyFill="1" applyBorder="1" applyAlignment="1" applyProtection="1">
      <alignment horizontal="right" vertical="center"/>
      <protection locked="0" hidden="1"/>
    </xf>
    <xf numFmtId="174" fontId="4" fillId="0" borderId="10" xfId="78" applyNumberFormat="1" applyFont="1" applyFill="1" applyBorder="1" applyAlignment="1" applyProtection="1">
      <alignment horizontal="right" vertical="center"/>
      <protection locked="0" hidden="1"/>
    </xf>
    <xf numFmtId="0" fontId="9" fillId="0" borderId="10" xfId="0" applyNumberFormat="1" applyFont="1" applyFill="1" applyBorder="1" applyAlignment="1" applyProtection="1">
      <alignment horizontal="left" vertical="center" indent="1"/>
      <protection locked="0" hidden="1"/>
    </xf>
    <xf numFmtId="0" fontId="4" fillId="0" borderId="19" xfId="0" applyFont="1" applyFill="1" applyBorder="1" applyAlignment="1" applyProtection="1">
      <alignment horizontal="left" vertical="center" indent="1"/>
      <protection locked="0" hidden="1"/>
    </xf>
    <xf numFmtId="4" fontId="4" fillId="0" borderId="19" xfId="0" applyNumberFormat="1" applyFont="1" applyFill="1" applyBorder="1" applyAlignment="1" applyProtection="1">
      <alignment horizontal="right" vertical="center" indent="1"/>
      <protection locked="0" hidden="1"/>
    </xf>
    <xf numFmtId="3" fontId="4" fillId="0" borderId="12" xfId="0" applyNumberFormat="1" applyFont="1" applyFill="1" applyBorder="1" applyAlignment="1" applyProtection="1">
      <alignment horizontal="right" vertical="center" indent="1"/>
      <protection locked="0" hidden="1"/>
    </xf>
    <xf numFmtId="3" fontId="4" fillId="0" borderId="19" xfId="0" applyNumberFormat="1" applyFont="1" applyFill="1" applyBorder="1" applyAlignment="1" applyProtection="1">
      <alignment horizontal="right" vertical="center" indent="1"/>
      <protection locked="0" hidden="1"/>
    </xf>
    <xf numFmtId="3" fontId="4" fillId="30" borderId="70" xfId="78" applyNumberFormat="1" applyFont="1" applyFill="1" applyBorder="1" applyAlignment="1" applyProtection="1">
      <alignment horizontal="right" vertical="center"/>
      <protection locked="0" hidden="1"/>
    </xf>
    <xf numFmtId="3" fontId="4" fillId="30" borderId="12" xfId="78" applyNumberFormat="1" applyFont="1" applyFill="1" applyBorder="1" applyAlignment="1" applyProtection="1">
      <alignment horizontal="right" vertical="center"/>
      <protection locked="0" hidden="1"/>
    </xf>
    <xf numFmtId="3" fontId="4" fillId="30" borderId="71" xfId="78" applyNumberFormat="1" applyFont="1" applyFill="1" applyBorder="1" applyAlignment="1" applyProtection="1">
      <alignment horizontal="right" vertical="center"/>
      <protection locked="0" hidden="1"/>
    </xf>
    <xf numFmtId="171" fontId="9" fillId="0" borderId="32" xfId="0" applyNumberFormat="1" applyFont="1" applyFill="1" applyBorder="1" applyAlignment="1" applyProtection="1">
      <alignment horizontal="right" vertical="center" indent="1"/>
      <protection locked="0" hidden="1"/>
    </xf>
    <xf numFmtId="174" fontId="4" fillId="0" borderId="12" xfId="0" applyNumberFormat="1" applyFont="1" applyFill="1" applyBorder="1" applyAlignment="1" applyProtection="1">
      <alignment horizontal="right" vertical="center" indent="1"/>
      <protection locked="0" hidden="1"/>
    </xf>
    <xf numFmtId="174" fontId="4" fillId="30" borderId="12" xfId="78" applyNumberFormat="1" applyFont="1" applyFill="1" applyBorder="1" applyAlignment="1" applyProtection="1">
      <alignment horizontal="right" vertical="center"/>
      <protection locked="0" hidden="1"/>
    </xf>
    <xf numFmtId="0" fontId="4" fillId="0" borderId="56" xfId="0" applyFont="1" applyFill="1" applyBorder="1" applyAlignment="1" applyProtection="1">
      <alignment horizontal="left" vertical="center" indent="1"/>
      <protection locked="0" hidden="1"/>
    </xf>
    <xf numFmtId="4" fontId="4" fillId="0" borderId="56" xfId="0" applyNumberFormat="1" applyFont="1" applyFill="1" applyBorder="1" applyAlignment="1" applyProtection="1">
      <alignment horizontal="right" vertical="center" indent="1"/>
      <protection locked="0" hidden="1"/>
    </xf>
    <xf numFmtId="3" fontId="4" fillId="0" borderId="13" xfId="0" applyNumberFormat="1" applyFont="1" applyFill="1" applyBorder="1" applyAlignment="1" applyProtection="1">
      <alignment horizontal="right" vertical="center" indent="1"/>
      <protection locked="0" hidden="1"/>
    </xf>
    <xf numFmtId="3" fontId="4" fillId="30" borderId="72" xfId="78" applyNumberFormat="1" applyFont="1" applyFill="1" applyBorder="1" applyAlignment="1" applyProtection="1">
      <alignment horizontal="right" vertical="center"/>
      <protection locked="0" hidden="1"/>
    </xf>
    <xf numFmtId="3" fontId="4" fillId="30" borderId="13" xfId="78" applyNumberFormat="1" applyFont="1" applyFill="1" applyBorder="1" applyAlignment="1" applyProtection="1">
      <alignment horizontal="right" vertical="center"/>
      <protection locked="0" hidden="1"/>
    </xf>
    <xf numFmtId="3" fontId="4" fillId="30" borderId="73" xfId="78" applyNumberFormat="1" applyFont="1" applyFill="1" applyBorder="1" applyAlignment="1" applyProtection="1">
      <alignment horizontal="right" vertical="center"/>
      <protection locked="0" hidden="1"/>
    </xf>
    <xf numFmtId="171" fontId="9" fillId="0" borderId="46" xfId="0" applyNumberFormat="1" applyFont="1" applyFill="1" applyBorder="1" applyAlignment="1" applyProtection="1">
      <alignment horizontal="right" vertical="center" indent="1"/>
      <protection locked="0" hidden="1"/>
    </xf>
    <xf numFmtId="174" fontId="4" fillId="30" borderId="13" xfId="78" applyNumberFormat="1" applyFont="1" applyFill="1" applyBorder="1" applyAlignment="1" applyProtection="1">
      <alignment horizontal="right" vertical="center"/>
      <protection locked="0" hidden="1"/>
    </xf>
    <xf numFmtId="0" fontId="9" fillId="0" borderId="0" xfId="0" applyFont="1" applyAlignment="1" applyProtection="1">
      <alignment vertical="center"/>
      <protection locked="0" hidden="1"/>
    </xf>
    <xf numFmtId="3" fontId="4" fillId="34" borderId="70" xfId="78" applyNumberFormat="1" applyFont="1" applyFill="1" applyBorder="1" applyAlignment="1" applyProtection="1">
      <alignment horizontal="right" vertical="center"/>
      <protection locked="0" hidden="1"/>
    </xf>
    <xf numFmtId="3" fontId="4" fillId="34" borderId="12" xfId="78" applyNumberFormat="1" applyFont="1" applyFill="1" applyBorder="1" applyAlignment="1" applyProtection="1">
      <alignment horizontal="right" vertical="center"/>
      <protection locked="0" hidden="1"/>
    </xf>
    <xf numFmtId="3" fontId="4" fillId="34" borderId="71" xfId="78" applyNumberFormat="1" applyFont="1" applyFill="1" applyBorder="1" applyAlignment="1" applyProtection="1">
      <alignment horizontal="right" vertical="center"/>
      <protection locked="0" hidden="1"/>
    </xf>
    <xf numFmtId="3" fontId="4" fillId="34" borderId="72" xfId="78" applyNumberFormat="1" applyFont="1" applyFill="1" applyBorder="1" applyAlignment="1" applyProtection="1">
      <alignment horizontal="right" vertical="center"/>
      <protection locked="0" hidden="1"/>
    </xf>
    <xf numFmtId="3" fontId="4" fillId="34" borderId="13" xfId="78" applyNumberFormat="1" applyFont="1" applyFill="1" applyBorder="1" applyAlignment="1" applyProtection="1">
      <alignment horizontal="right" vertical="center"/>
      <protection locked="0" hidden="1"/>
    </xf>
    <xf numFmtId="3" fontId="4" fillId="34" borderId="73" xfId="78" applyNumberFormat="1" applyFont="1" applyFill="1" applyBorder="1" applyAlignment="1" applyProtection="1">
      <alignment horizontal="right" vertical="center"/>
      <protection locked="0" hidden="1"/>
    </xf>
    <xf numFmtId="4" fontId="9" fillId="33" borderId="34" xfId="0" applyNumberFormat="1" applyFont="1" applyFill="1" applyBorder="1" applyAlignment="1" applyProtection="1">
      <alignment horizontal="right" vertical="center" indent="1"/>
      <protection locked="0" hidden="1"/>
    </xf>
    <xf numFmtId="4" fontId="6" fillId="33" borderId="34" xfId="0" applyNumberFormat="1" applyFont="1" applyFill="1" applyBorder="1" applyAlignment="1" applyProtection="1">
      <alignment horizontal="right" vertical="center" indent="1"/>
      <protection locked="0" hidden="1"/>
    </xf>
    <xf numFmtId="3" fontId="6" fillId="33" borderId="10" xfId="0" applyNumberFormat="1" applyFont="1" applyFill="1" applyBorder="1" applyAlignment="1" applyProtection="1">
      <alignment horizontal="right" vertical="center" indent="1"/>
      <protection locked="0" hidden="1"/>
    </xf>
    <xf numFmtId="3" fontId="6" fillId="33" borderId="34" xfId="0" applyNumberFormat="1" applyFont="1" applyFill="1" applyBorder="1" applyAlignment="1" applyProtection="1">
      <alignment horizontal="right" vertical="center" indent="1"/>
      <protection locked="0" hidden="1"/>
    </xf>
    <xf numFmtId="10" fontId="4" fillId="33" borderId="68" xfId="78" applyNumberFormat="1" applyFont="1" applyFill="1" applyBorder="1" applyAlignment="1" applyProtection="1">
      <alignment horizontal="right" vertical="center"/>
      <protection locked="0" hidden="1"/>
    </xf>
    <xf numFmtId="10" fontId="4" fillId="33" borderId="10" xfId="78" applyNumberFormat="1" applyFont="1" applyFill="1" applyBorder="1" applyAlignment="1" applyProtection="1">
      <alignment horizontal="right" vertical="center"/>
      <protection locked="0" hidden="1"/>
    </xf>
    <xf numFmtId="10" fontId="4" fillId="33" borderId="69" xfId="78" applyNumberFormat="1" applyFont="1" applyFill="1" applyBorder="1" applyAlignment="1" applyProtection="1">
      <alignment horizontal="right" vertical="center"/>
      <protection locked="0" hidden="1"/>
    </xf>
    <xf numFmtId="171" fontId="6" fillId="33" borderId="31" xfId="0" applyNumberFormat="1" applyFont="1" applyFill="1" applyBorder="1" applyAlignment="1" applyProtection="1">
      <alignment horizontal="right" vertical="center" indent="1"/>
      <protection locked="0" hidden="1"/>
    </xf>
    <xf numFmtId="0" fontId="9" fillId="33" borderId="10" xfId="0" applyNumberFormat="1" applyFont="1" applyFill="1" applyBorder="1" applyAlignment="1" applyProtection="1">
      <alignment horizontal="right" vertical="center"/>
      <protection locked="0" hidden="1"/>
    </xf>
    <xf numFmtId="174" fontId="4" fillId="33" borderId="10" xfId="78" applyNumberFormat="1" applyFont="1" applyFill="1" applyBorder="1" applyAlignment="1" applyProtection="1">
      <alignment horizontal="right" vertical="center"/>
      <protection locked="0" hidden="1"/>
    </xf>
    <xf numFmtId="0" fontId="9" fillId="33" borderId="10" xfId="0" applyNumberFormat="1" applyFont="1" applyFill="1" applyBorder="1" applyAlignment="1" applyProtection="1">
      <alignment horizontal="left" vertical="center" indent="1"/>
      <protection locked="0" hidden="1"/>
    </xf>
    <xf numFmtId="0" fontId="4" fillId="33" borderId="19" xfId="0" applyFont="1" applyFill="1" applyBorder="1" applyAlignment="1" applyProtection="1">
      <alignment horizontal="left" vertical="center" indent="1"/>
      <protection locked="0" hidden="1"/>
    </xf>
    <xf numFmtId="4" fontId="4" fillId="33" borderId="19" xfId="0" applyNumberFormat="1" applyFont="1" applyFill="1" applyBorder="1" applyAlignment="1" applyProtection="1">
      <alignment horizontal="right" vertical="center" indent="1"/>
      <protection locked="0" hidden="1"/>
    </xf>
    <xf numFmtId="3" fontId="4" fillId="33" borderId="12" xfId="0" applyNumberFormat="1" applyFont="1" applyFill="1" applyBorder="1" applyAlignment="1" applyProtection="1">
      <alignment horizontal="right" vertical="center" indent="1"/>
      <protection locked="0" hidden="1"/>
    </xf>
    <xf numFmtId="3" fontId="4" fillId="33" borderId="19" xfId="0" applyNumberFormat="1" applyFont="1" applyFill="1" applyBorder="1" applyAlignment="1" applyProtection="1">
      <alignment horizontal="right" vertical="center" indent="1"/>
      <protection locked="0" hidden="1"/>
    </xf>
    <xf numFmtId="171" fontId="9" fillId="33" borderId="32" xfId="0" applyNumberFormat="1" applyFont="1" applyFill="1" applyBorder="1" applyAlignment="1" applyProtection="1">
      <alignment horizontal="right" vertical="center" indent="1"/>
      <protection locked="0" hidden="1"/>
    </xf>
    <xf numFmtId="174" fontId="4" fillId="33" borderId="12" xfId="0" applyNumberFormat="1" applyFont="1" applyFill="1" applyBorder="1" applyAlignment="1" applyProtection="1">
      <alignment horizontal="right" vertical="center" indent="1"/>
      <protection locked="0" hidden="1"/>
    </xf>
    <xf numFmtId="174" fontId="4" fillId="33" borderId="12" xfId="78" applyNumberFormat="1" applyFont="1" applyFill="1" applyBorder="1" applyAlignment="1" applyProtection="1">
      <alignment horizontal="right" vertical="center"/>
      <protection locked="0" hidden="1"/>
    </xf>
    <xf numFmtId="0" fontId="4" fillId="33" borderId="56" xfId="0" applyFont="1" applyFill="1" applyBorder="1" applyAlignment="1" applyProtection="1">
      <alignment horizontal="left" vertical="center" indent="1"/>
      <protection locked="0" hidden="1"/>
    </xf>
    <xf numFmtId="4" fontId="4" fillId="33" borderId="56" xfId="0" applyNumberFormat="1" applyFont="1" applyFill="1" applyBorder="1" applyAlignment="1" applyProtection="1">
      <alignment horizontal="right" vertical="center" indent="1"/>
      <protection locked="0" hidden="1"/>
    </xf>
    <xf numFmtId="3" fontId="4" fillId="33" borderId="13" xfId="0" applyNumberFormat="1" applyFont="1" applyFill="1" applyBorder="1" applyAlignment="1" applyProtection="1">
      <alignment horizontal="right" vertical="center" indent="1"/>
      <protection locked="0" hidden="1"/>
    </xf>
    <xf numFmtId="171" fontId="9" fillId="33" borderId="46" xfId="0" applyNumberFormat="1" applyFont="1" applyFill="1" applyBorder="1" applyAlignment="1" applyProtection="1">
      <alignment horizontal="right" vertical="center" indent="1"/>
      <protection locked="0" hidden="1"/>
    </xf>
    <xf numFmtId="174" fontId="4" fillId="33" borderId="13" xfId="78" applyNumberFormat="1" applyFont="1" applyFill="1" applyBorder="1" applyAlignment="1" applyProtection="1">
      <alignment horizontal="right" vertical="center"/>
      <protection locked="0" hidden="1"/>
    </xf>
    <xf numFmtId="0" fontId="4" fillId="0" borderId="0" xfId="0" applyFont="1" applyBorder="1" applyAlignment="1" applyProtection="1">
      <alignment vertical="center"/>
      <protection locked="0" hidden="1"/>
    </xf>
    <xf numFmtId="4" fontId="4" fillId="0" borderId="0" xfId="0" applyNumberFormat="1" applyFont="1" applyBorder="1" applyAlignment="1" applyProtection="1">
      <alignment horizontal="right" vertical="center"/>
      <protection locked="0" hidden="1"/>
    </xf>
    <xf numFmtId="0" fontId="4" fillId="0" borderId="0" xfId="0" applyFont="1" applyBorder="1" applyProtection="1">
      <protection locked="0" hidden="1"/>
    </xf>
    <xf numFmtId="174" fontId="4" fillId="0" borderId="0" xfId="0" applyNumberFormat="1" applyFont="1" applyBorder="1" applyAlignment="1" applyProtection="1">
      <alignment horizontal="right" vertical="center" indent="1"/>
      <protection locked="0" hidden="1"/>
    </xf>
    <xf numFmtId="174" fontId="4" fillId="0" borderId="0" xfId="0" applyNumberFormat="1" applyFont="1" applyBorder="1" applyAlignment="1" applyProtection="1">
      <alignment vertical="center"/>
      <protection locked="0" hidden="1"/>
    </xf>
    <xf numFmtId="174" fontId="4" fillId="0" borderId="0" xfId="0" applyNumberFormat="1" applyFont="1" applyBorder="1" applyProtection="1">
      <protection locked="0" hidden="1"/>
    </xf>
    <xf numFmtId="0" fontId="4" fillId="0" borderId="0" xfId="0" applyFont="1" applyBorder="1" applyAlignment="1" applyProtection="1">
      <alignment horizontal="left" vertical="center" indent="1"/>
      <protection locked="0" hidden="1"/>
    </xf>
    <xf numFmtId="0" fontId="13" fillId="0" borderId="0" xfId="0" applyFont="1" applyAlignment="1" applyProtection="1">
      <alignment vertical="center"/>
      <protection locked="0" hidden="1"/>
    </xf>
    <xf numFmtId="0" fontId="42" fillId="0" borderId="0" xfId="0" applyFont="1" applyAlignment="1" applyProtection="1">
      <alignment vertical="center"/>
      <protection locked="0" hidden="1"/>
    </xf>
    <xf numFmtId="174" fontId="4" fillId="0" borderId="0" xfId="0" applyNumberFormat="1" applyFont="1" applyAlignment="1" applyProtection="1">
      <alignment horizontal="right" vertical="center" indent="1"/>
      <protection locked="0" hidden="1"/>
    </xf>
    <xf numFmtId="0" fontId="8" fillId="0" borderId="0" xfId="0" applyFont="1" applyAlignment="1" applyProtection="1">
      <alignment horizontal="left" vertical="center"/>
      <protection locked="0" hidden="1"/>
    </xf>
    <xf numFmtId="0" fontId="8" fillId="0" borderId="0" xfId="0" applyFont="1" applyAlignment="1" applyProtection="1">
      <alignment vertical="center"/>
      <protection locked="0" hidden="1"/>
    </xf>
    <xf numFmtId="3" fontId="4" fillId="28" borderId="54" xfId="78" applyNumberFormat="1" applyFont="1" applyFill="1" applyBorder="1" applyAlignment="1">
      <alignment horizontal="left" vertical="center" indent="1"/>
    </xf>
    <xf numFmtId="0" fontId="4" fillId="0" borderId="0" xfId="0" applyFont="1" applyAlignment="1" applyProtection="1">
      <alignment horizontal="center" vertical="center"/>
      <protection locked="0" hidden="1"/>
    </xf>
    <xf numFmtId="0" fontId="7" fillId="0" borderId="0" xfId="0" applyFont="1" applyAlignment="1" applyProtection="1">
      <alignment horizontal="center" vertical="top"/>
      <protection locked="0" hidden="1"/>
    </xf>
    <xf numFmtId="0" fontId="16" fillId="0" borderId="0" xfId="0" applyFont="1" applyBorder="1" applyAlignment="1" applyProtection="1">
      <alignment horizontal="center" vertical="center" wrapText="1"/>
      <protection locked="0" hidden="1"/>
    </xf>
    <xf numFmtId="0" fontId="4" fillId="0" borderId="0" xfId="0" applyFont="1" applyAlignment="1" applyProtection="1">
      <alignment horizontal="center"/>
      <protection locked="0" hidden="1"/>
    </xf>
    <xf numFmtId="0" fontId="4" fillId="0" borderId="0" xfId="0" applyFont="1" applyBorder="1" applyAlignment="1" applyProtection="1">
      <alignment horizontal="center" vertical="center"/>
      <protection locked="0" hidden="1"/>
    </xf>
    <xf numFmtId="0" fontId="57" fillId="0" borderId="0" xfId="0" applyFont="1" applyAlignment="1" applyProtection="1">
      <alignment horizontal="center" vertical="center"/>
      <protection locked="0" hidden="1"/>
    </xf>
    <xf numFmtId="0" fontId="64" fillId="0" borderId="0" xfId="0" applyFont="1" applyAlignment="1" applyProtection="1">
      <alignment horizontal="center" vertical="center"/>
      <protection locked="0" hidden="1"/>
    </xf>
    <xf numFmtId="0" fontId="16" fillId="0" borderId="0" xfId="0" applyFont="1" applyAlignment="1" applyProtection="1">
      <alignment horizontal="center" vertical="center"/>
      <protection locked="0" hidden="1"/>
    </xf>
    <xf numFmtId="0" fontId="7" fillId="29" borderId="18" xfId="0" applyFont="1" applyFill="1" applyBorder="1" applyAlignment="1" applyProtection="1">
      <alignment horizontal="center" vertical="center"/>
      <protection locked="0" hidden="1"/>
    </xf>
    <xf numFmtId="0" fontId="6" fillId="29" borderId="17" xfId="0" applyFont="1" applyFill="1" applyBorder="1" applyAlignment="1" applyProtection="1">
      <alignment horizontal="center" vertical="center"/>
      <protection locked="0" hidden="1"/>
    </xf>
    <xf numFmtId="0" fontId="16" fillId="0" borderId="0" xfId="0" applyFont="1" applyBorder="1" applyAlignment="1" applyProtection="1">
      <alignment vertical="center"/>
      <protection locked="0" hidden="1"/>
    </xf>
    <xf numFmtId="0" fontId="4" fillId="0" borderId="31" xfId="0" applyNumberFormat="1" applyFont="1" applyFill="1" applyBorder="1" applyAlignment="1">
      <alignment horizontal="left" vertical="center"/>
    </xf>
    <xf numFmtId="0" fontId="4" fillId="0" borderId="32" xfId="0" applyNumberFormat="1" applyFont="1" applyFill="1" applyBorder="1" applyAlignment="1">
      <alignment horizontal="left" vertical="center"/>
    </xf>
    <xf numFmtId="0" fontId="4" fillId="0" borderId="33" xfId="0" applyNumberFormat="1" applyFont="1" applyFill="1" applyBorder="1" applyAlignment="1">
      <alignment horizontal="left" vertical="center"/>
    </xf>
    <xf numFmtId="0" fontId="52" fillId="0" borderId="0" xfId="0" applyFont="1" applyAlignment="1" applyProtection="1">
      <alignment vertical="center"/>
      <protection hidden="1"/>
    </xf>
    <xf numFmtId="0" fontId="55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14" fillId="0" borderId="0" xfId="0" applyFont="1" applyAlignment="1" applyProtection="1">
      <alignment horizontal="left" vertical="center"/>
      <protection hidden="1"/>
    </xf>
    <xf numFmtId="0" fontId="14" fillId="0" borderId="0" xfId="0" applyFont="1" applyAlignment="1" applyProtection="1">
      <alignment horizontal="right" vertical="center"/>
      <protection hidden="1"/>
    </xf>
    <xf numFmtId="0" fontId="18" fillId="0" borderId="0" xfId="0" quotePrefix="1" applyFont="1" applyAlignment="1" applyProtection="1">
      <alignment vertical="center"/>
      <protection hidden="1"/>
    </xf>
    <xf numFmtId="0" fontId="6" fillId="29" borderId="14" xfId="0" applyFont="1" applyFill="1" applyBorder="1" applyAlignment="1" applyProtection="1">
      <alignment horizontal="right" vertical="center" indent="1"/>
      <protection hidden="1"/>
    </xf>
    <xf numFmtId="0" fontId="9" fillId="0" borderId="0" xfId="0" applyFont="1" applyAlignment="1" applyProtection="1">
      <alignment vertical="center"/>
      <protection hidden="1"/>
    </xf>
    <xf numFmtId="0" fontId="57" fillId="0" borderId="0" xfId="0" applyFont="1" applyAlignment="1" applyProtection="1">
      <alignment horizontal="left"/>
      <protection hidden="1"/>
    </xf>
    <xf numFmtId="0" fontId="6" fillId="0" borderId="0" xfId="0" applyFont="1" applyFill="1" applyBorder="1" applyAlignment="1" applyProtection="1">
      <alignment horizontal="right" vertical="center" indent="1"/>
      <protection hidden="1"/>
    </xf>
    <xf numFmtId="0" fontId="6" fillId="0" borderId="0" xfId="0" applyFont="1" applyFill="1" applyBorder="1" applyAlignment="1" applyProtection="1">
      <alignment horizontal="left" vertical="center" indent="1"/>
      <protection hidden="1"/>
    </xf>
    <xf numFmtId="0" fontId="6" fillId="29" borderId="10" xfId="0" applyFont="1" applyFill="1" applyBorder="1" applyAlignment="1" applyProtection="1">
      <alignment horizontal="right" vertical="center" indent="1"/>
      <protection hidden="1"/>
    </xf>
    <xf numFmtId="0" fontId="57" fillId="30" borderId="14" xfId="0" applyFont="1" applyFill="1" applyBorder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54" fillId="0" borderId="0" xfId="0" applyFont="1" applyFill="1" applyBorder="1" applyAlignment="1" applyProtection="1">
      <alignment vertical="center"/>
      <protection hidden="1"/>
    </xf>
    <xf numFmtId="0" fontId="6" fillId="29" borderId="12" xfId="0" applyFont="1" applyFill="1" applyBorder="1" applyAlignment="1" applyProtection="1">
      <alignment horizontal="right" vertical="center" indent="1"/>
      <protection hidden="1"/>
    </xf>
    <xf numFmtId="0" fontId="57" fillId="0" borderId="14" xfId="0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57" fillId="0" borderId="0" xfId="0" applyFont="1" applyBorder="1" applyAlignment="1" applyProtection="1">
      <alignment horizontal="left" vertical="center"/>
      <protection hidden="1"/>
    </xf>
    <xf numFmtId="0" fontId="6" fillId="29" borderId="15" xfId="0" applyFont="1" applyFill="1" applyBorder="1" applyAlignment="1" applyProtection="1">
      <alignment horizontal="right" vertical="center" indent="1"/>
      <protection hidden="1"/>
    </xf>
    <xf numFmtId="0" fontId="6" fillId="0" borderId="0" xfId="0" applyFont="1" applyFill="1" applyBorder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vertical="center"/>
      <protection hidden="1"/>
    </xf>
    <xf numFmtId="166" fontId="6" fillId="0" borderId="32" xfId="0" applyNumberFormat="1" applyFont="1" applyFill="1" applyBorder="1" applyAlignment="1" applyProtection="1">
      <alignment horizontal="right" vertical="center" indent="2"/>
      <protection hidden="1"/>
    </xf>
    <xf numFmtId="166" fontId="6" fillId="0" borderId="33" xfId="0" applyNumberFormat="1" applyFont="1" applyFill="1" applyBorder="1" applyAlignment="1" applyProtection="1">
      <alignment horizontal="right" vertical="center" indent="2"/>
      <protection hidden="1"/>
    </xf>
    <xf numFmtId="0" fontId="16" fillId="0" borderId="0" xfId="0" applyFont="1" applyBorder="1" applyAlignment="1" applyProtection="1">
      <alignment horizontal="left" wrapText="1" indent="1"/>
      <protection hidden="1"/>
    </xf>
    <xf numFmtId="0" fontId="2" fillId="0" borderId="0" xfId="0" applyFont="1" applyProtection="1">
      <protection hidden="1"/>
    </xf>
    <xf numFmtId="0" fontId="56" fillId="0" borderId="0" xfId="0" applyFont="1" applyAlignment="1" applyProtection="1">
      <alignment horizontal="left"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protection hidden="1"/>
    </xf>
    <xf numFmtId="0" fontId="43" fillId="0" borderId="0" xfId="0" applyFont="1" applyAlignment="1" applyProtection="1">
      <alignment vertical="center"/>
      <protection hidden="1"/>
    </xf>
    <xf numFmtId="0" fontId="44" fillId="29" borderId="17" xfId="0" applyFont="1" applyFill="1" applyBorder="1" applyAlignment="1" applyProtection="1">
      <alignment horizontal="center" vertical="center" wrapText="1"/>
      <protection hidden="1"/>
    </xf>
    <xf numFmtId="0" fontId="44" fillId="29" borderId="14" xfId="0" applyFont="1" applyFill="1" applyBorder="1" applyAlignment="1" applyProtection="1">
      <alignment horizontal="center" vertical="center" wrapText="1"/>
      <protection hidden="1"/>
    </xf>
    <xf numFmtId="0" fontId="44" fillId="29" borderId="18" xfId="0" applyFont="1" applyFill="1" applyBorder="1" applyAlignment="1" applyProtection="1">
      <alignment horizontal="center" vertical="center" wrapText="1"/>
      <protection hidden="1"/>
    </xf>
    <xf numFmtId="0" fontId="12" fillId="0" borderId="0" xfId="0" applyFont="1" applyAlignment="1" applyProtection="1">
      <alignment vertical="center"/>
      <protection hidden="1"/>
    </xf>
    <xf numFmtId="166" fontId="9" fillId="26" borderId="11" xfId="78" applyNumberFormat="1" applyFont="1" applyFill="1" applyBorder="1" applyAlignment="1" applyProtection="1">
      <alignment horizontal="right" vertical="center" indent="1"/>
      <protection hidden="1"/>
    </xf>
    <xf numFmtId="0" fontId="44" fillId="34" borderId="12" xfId="0" applyFont="1" applyFill="1" applyBorder="1" applyAlignment="1" applyProtection="1">
      <alignment horizontal="right" vertical="center" indent="1"/>
      <protection hidden="1"/>
    </xf>
    <xf numFmtId="0" fontId="20" fillId="0" borderId="0" xfId="0" applyFont="1" applyAlignment="1" applyProtection="1">
      <alignment vertical="center"/>
      <protection hidden="1"/>
    </xf>
    <xf numFmtId="166" fontId="9" fillId="26" borderId="38" xfId="78" applyNumberFormat="1" applyFont="1" applyFill="1" applyBorder="1" applyAlignment="1" applyProtection="1">
      <alignment horizontal="right" vertical="center" indent="1"/>
      <protection hidden="1"/>
    </xf>
    <xf numFmtId="0" fontId="44" fillId="29" borderId="14" xfId="0" applyFont="1" applyFill="1" applyBorder="1" applyAlignment="1" applyProtection="1">
      <alignment horizontal="right" vertical="center" indent="1"/>
      <protection hidden="1"/>
    </xf>
    <xf numFmtId="0" fontId="62" fillId="0" borderId="0" xfId="0" applyFont="1" applyAlignment="1" applyProtection="1">
      <alignment vertical="center"/>
      <protection hidden="1"/>
    </xf>
    <xf numFmtId="0" fontId="6" fillId="26" borderId="18" xfId="0" applyFont="1" applyFill="1" applyBorder="1" applyAlignment="1" applyProtection="1">
      <alignment horizontal="left" vertical="center" indent="1"/>
      <protection locked="0" hidden="1"/>
    </xf>
    <xf numFmtId="0" fontId="6" fillId="26" borderId="31" xfId="0" applyFont="1" applyFill="1" applyBorder="1" applyAlignment="1" applyProtection="1">
      <alignment horizontal="left" vertical="center" indent="1"/>
      <protection locked="0" hidden="1"/>
    </xf>
    <xf numFmtId="0" fontId="6" fillId="26" borderId="32" xfId="0" applyFont="1" applyFill="1" applyBorder="1" applyAlignment="1" applyProtection="1">
      <alignment horizontal="left" vertical="center" indent="1"/>
      <protection locked="0" hidden="1"/>
    </xf>
    <xf numFmtId="0" fontId="6" fillId="26" borderId="32" xfId="0" applyFont="1" applyFill="1" applyBorder="1" applyAlignment="1" applyProtection="1">
      <alignment horizontal="center" vertical="center"/>
      <protection locked="0" hidden="1"/>
    </xf>
    <xf numFmtId="0" fontId="6" fillId="26" borderId="33" xfId="0" applyFont="1" applyFill="1" applyBorder="1" applyAlignment="1" applyProtection="1">
      <alignment horizontal="center" vertical="center"/>
      <protection locked="0" hidden="1"/>
    </xf>
    <xf numFmtId="168" fontId="6" fillId="26" borderId="31" xfId="0" applyNumberFormat="1" applyFont="1" applyFill="1" applyBorder="1" applyAlignment="1" applyProtection="1">
      <alignment horizontal="right" vertical="center" indent="2"/>
      <protection locked="0" hidden="1"/>
    </xf>
    <xf numFmtId="0" fontId="58" fillId="0" borderId="0" xfId="0" applyFont="1" applyAlignment="1" applyProtection="1">
      <alignment vertical="center"/>
      <protection hidden="1"/>
    </xf>
    <xf numFmtId="0" fontId="10" fillId="0" borderId="0" xfId="0" applyFont="1" applyAlignment="1" applyProtection="1">
      <alignment vertical="top"/>
      <protection hidden="1"/>
    </xf>
    <xf numFmtId="0" fontId="5" fillId="0" borderId="0" xfId="0" applyFont="1" applyAlignment="1" applyProtection="1">
      <alignment vertical="center"/>
      <protection hidden="1"/>
    </xf>
    <xf numFmtId="0" fontId="14" fillId="0" borderId="0" xfId="0" applyFont="1" applyAlignment="1" applyProtection="1">
      <alignment horizontal="center" vertical="center"/>
      <protection hidden="1"/>
    </xf>
    <xf numFmtId="0" fontId="45" fillId="0" borderId="0" xfId="0" applyFont="1" applyAlignment="1" applyProtection="1">
      <alignment vertical="center"/>
      <protection hidden="1"/>
    </xf>
    <xf numFmtId="4" fontId="4" fillId="29" borderId="19" xfId="0" applyNumberFormat="1" applyFont="1" applyFill="1" applyBorder="1" applyAlignment="1" applyProtection="1">
      <alignment horizontal="right" vertical="center"/>
      <protection hidden="1"/>
    </xf>
    <xf numFmtId="0" fontId="6" fillId="29" borderId="32" xfId="0" applyFont="1" applyFill="1" applyBorder="1" applyAlignment="1" applyProtection="1">
      <alignment horizontal="right" vertical="center"/>
      <protection hidden="1"/>
    </xf>
    <xf numFmtId="9" fontId="6" fillId="0" borderId="12" xfId="0" applyNumberFormat="1" applyFont="1" applyFill="1" applyBorder="1" applyAlignment="1" applyProtection="1">
      <alignment horizontal="right" vertical="center" indent="1"/>
      <protection hidden="1"/>
    </xf>
    <xf numFmtId="4" fontId="4" fillId="29" borderId="34" xfId="0" applyNumberFormat="1" applyFont="1" applyFill="1" applyBorder="1" applyAlignment="1" applyProtection="1">
      <alignment horizontal="right" vertical="center"/>
      <protection hidden="1"/>
    </xf>
    <xf numFmtId="0" fontId="6" fillId="29" borderId="31" xfId="0" applyFont="1" applyFill="1" applyBorder="1" applyAlignment="1" applyProtection="1">
      <alignment horizontal="right" vertical="center"/>
      <protection hidden="1"/>
    </xf>
    <xf numFmtId="4" fontId="4" fillId="29" borderId="59" xfId="0" applyNumberFormat="1" applyFont="1" applyFill="1" applyBorder="1" applyAlignment="1" applyProtection="1">
      <alignment horizontal="right" vertical="center"/>
      <protection hidden="1"/>
    </xf>
    <xf numFmtId="4" fontId="4" fillId="29" borderId="60" xfId="0" applyNumberFormat="1" applyFont="1" applyFill="1" applyBorder="1" applyAlignment="1" applyProtection="1">
      <alignment horizontal="right" vertical="center"/>
      <protection hidden="1"/>
    </xf>
    <xf numFmtId="0" fontId="6" fillId="29" borderId="45" xfId="0" applyFont="1" applyFill="1" applyBorder="1" applyAlignment="1" applyProtection="1">
      <alignment horizontal="right" vertical="center"/>
      <protection hidden="1"/>
    </xf>
    <xf numFmtId="4" fontId="4" fillId="29" borderId="54" xfId="0" applyNumberFormat="1" applyFont="1" applyFill="1" applyBorder="1" applyAlignment="1" applyProtection="1">
      <alignment horizontal="right" vertical="center"/>
      <protection hidden="1"/>
    </xf>
    <xf numFmtId="4" fontId="6" fillId="0" borderId="12" xfId="0" applyNumberFormat="1" applyFont="1" applyFill="1" applyBorder="1" applyAlignment="1" applyProtection="1">
      <alignment horizontal="right" vertical="center" indent="1"/>
      <protection hidden="1"/>
    </xf>
    <xf numFmtId="4" fontId="4" fillId="29" borderId="21" xfId="0" applyNumberFormat="1" applyFont="1" applyFill="1" applyBorder="1" applyAlignment="1" applyProtection="1">
      <alignment horizontal="right" vertical="center"/>
      <protection hidden="1"/>
    </xf>
    <xf numFmtId="4" fontId="4" fillId="29" borderId="55" xfId="0" applyNumberFormat="1" applyFont="1" applyFill="1" applyBorder="1" applyAlignment="1" applyProtection="1">
      <alignment horizontal="right" vertical="center"/>
      <protection hidden="1"/>
    </xf>
    <xf numFmtId="0" fontId="6" fillId="29" borderId="33" xfId="0" applyFont="1" applyFill="1" applyBorder="1" applyAlignment="1" applyProtection="1">
      <alignment horizontal="right" vertical="center"/>
      <protection hidden="1"/>
    </xf>
    <xf numFmtId="3" fontId="6" fillId="0" borderId="15" xfId="0" applyNumberFormat="1" applyFont="1" applyFill="1" applyBorder="1" applyAlignment="1" applyProtection="1">
      <alignment horizontal="right" vertical="center" indent="1"/>
      <protection hidden="1"/>
    </xf>
    <xf numFmtId="0" fontId="10" fillId="0" borderId="0" xfId="0" applyFont="1" applyAlignment="1" applyProtection="1">
      <alignment vertical="center"/>
      <protection hidden="1"/>
    </xf>
    <xf numFmtId="0" fontId="4" fillId="0" borderId="25" xfId="0" applyFont="1" applyBorder="1" applyAlignment="1" applyProtection="1">
      <alignment vertical="center"/>
      <protection hidden="1"/>
    </xf>
    <xf numFmtId="0" fontId="14" fillId="0" borderId="0" xfId="0" applyFont="1" applyAlignment="1" applyProtection="1">
      <alignment horizontal="right" vertical="top"/>
      <protection hidden="1"/>
    </xf>
    <xf numFmtId="3" fontId="6" fillId="24" borderId="14" xfId="0" applyNumberFormat="1" applyFont="1" applyFill="1" applyBorder="1" applyAlignment="1" applyProtection="1">
      <alignment horizontal="center" vertical="center" wrapText="1"/>
      <protection hidden="1"/>
    </xf>
    <xf numFmtId="3" fontId="6" fillId="24" borderId="17" xfId="0" applyNumberFormat="1" applyFont="1" applyFill="1" applyBorder="1" applyAlignment="1" applyProtection="1">
      <alignment horizontal="center" vertical="center" wrapText="1"/>
      <protection hidden="1"/>
    </xf>
    <xf numFmtId="3" fontId="6" fillId="24" borderId="18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10" xfId="0" applyNumberFormat="1" applyFont="1" applyFill="1" applyBorder="1" applyAlignment="1" applyProtection="1">
      <alignment horizontal="right" vertical="center" indent="2"/>
      <protection hidden="1"/>
    </xf>
    <xf numFmtId="171" fontId="46" fillId="0" borderId="10" xfId="0" applyNumberFormat="1" applyFont="1" applyFill="1" applyBorder="1" applyAlignment="1" applyProtection="1">
      <alignment horizontal="right" vertical="center" indent="1"/>
      <protection hidden="1"/>
    </xf>
    <xf numFmtId="167" fontId="46" fillId="0" borderId="34" xfId="0" applyNumberFormat="1" applyFont="1" applyFill="1" applyBorder="1" applyAlignment="1" applyProtection="1">
      <alignment horizontal="right" vertical="center" indent="1"/>
      <protection hidden="1"/>
    </xf>
    <xf numFmtId="167" fontId="46" fillId="0" borderId="10" xfId="0" applyNumberFormat="1" applyFont="1" applyFill="1" applyBorder="1" applyAlignment="1" applyProtection="1">
      <alignment horizontal="right" vertical="center" indent="1"/>
      <protection hidden="1"/>
    </xf>
    <xf numFmtId="171" fontId="46" fillId="0" borderId="31" xfId="0" applyNumberFormat="1" applyFont="1" applyFill="1" applyBorder="1" applyAlignment="1" applyProtection="1">
      <alignment horizontal="right" vertical="center" indent="1"/>
      <protection hidden="1"/>
    </xf>
    <xf numFmtId="3" fontId="46" fillId="0" borderId="10" xfId="0" applyNumberFormat="1" applyFont="1" applyFill="1" applyBorder="1" applyAlignment="1" applyProtection="1">
      <alignment horizontal="right" vertical="center" indent="1"/>
      <protection hidden="1"/>
    </xf>
    <xf numFmtId="4" fontId="46" fillId="0" borderId="10" xfId="0" applyNumberFormat="1" applyFont="1" applyFill="1" applyBorder="1" applyAlignment="1" applyProtection="1">
      <alignment horizontal="right" vertical="center" indent="1"/>
      <protection hidden="1"/>
    </xf>
    <xf numFmtId="0" fontId="6" fillId="0" borderId="12" xfId="0" applyNumberFormat="1" applyFont="1" applyFill="1" applyBorder="1" applyAlignment="1" applyProtection="1">
      <alignment horizontal="right" vertical="center" indent="2"/>
      <protection hidden="1"/>
    </xf>
    <xf numFmtId="171" fontId="46" fillId="0" borderId="12" xfId="0" applyNumberFormat="1" applyFont="1" applyFill="1" applyBorder="1" applyAlignment="1" applyProtection="1">
      <alignment horizontal="right" vertical="center" indent="1"/>
      <protection hidden="1"/>
    </xf>
    <xf numFmtId="167" fontId="46" fillId="0" borderId="19" xfId="0" applyNumberFormat="1" applyFont="1" applyFill="1" applyBorder="1" applyAlignment="1" applyProtection="1">
      <alignment horizontal="right" vertical="center" indent="1"/>
      <protection hidden="1"/>
    </xf>
    <xf numFmtId="167" fontId="46" fillId="0" borderId="12" xfId="0" applyNumberFormat="1" applyFont="1" applyFill="1" applyBorder="1" applyAlignment="1" applyProtection="1">
      <alignment horizontal="right" vertical="center" indent="1"/>
      <protection hidden="1"/>
    </xf>
    <xf numFmtId="171" fontId="46" fillId="0" borderId="32" xfId="0" applyNumberFormat="1" applyFont="1" applyFill="1" applyBorder="1" applyAlignment="1" applyProtection="1">
      <alignment horizontal="right" vertical="center" indent="1"/>
      <protection hidden="1"/>
    </xf>
    <xf numFmtId="3" fontId="46" fillId="0" borderId="12" xfId="0" applyNumberFormat="1" applyFont="1" applyFill="1" applyBorder="1" applyAlignment="1" applyProtection="1">
      <alignment horizontal="right" vertical="center" indent="1"/>
      <protection hidden="1"/>
    </xf>
    <xf numFmtId="4" fontId="46" fillId="0" borderId="12" xfId="0" applyNumberFormat="1" applyFont="1" applyFill="1" applyBorder="1" applyAlignment="1" applyProtection="1">
      <alignment horizontal="right" vertical="center" indent="1"/>
      <protection hidden="1"/>
    </xf>
    <xf numFmtId="0" fontId="6" fillId="24" borderId="14" xfId="0" applyFont="1" applyFill="1" applyBorder="1" applyAlignment="1" applyProtection="1">
      <alignment horizontal="right" vertical="center" indent="1"/>
      <protection hidden="1"/>
    </xf>
    <xf numFmtId="167" fontId="6" fillId="24" borderId="14" xfId="0" applyNumberFormat="1" applyFont="1" applyFill="1" applyBorder="1" applyAlignment="1" applyProtection="1">
      <alignment horizontal="right" vertical="center" indent="1"/>
      <protection hidden="1"/>
    </xf>
    <xf numFmtId="166" fontId="6" fillId="24" borderId="14" xfId="0" applyNumberFormat="1" applyFont="1" applyFill="1" applyBorder="1" applyAlignment="1" applyProtection="1">
      <alignment horizontal="right" vertical="center" indent="1"/>
      <protection hidden="1"/>
    </xf>
    <xf numFmtId="171" fontId="6" fillId="24" borderId="18" xfId="0" applyNumberFormat="1" applyFont="1" applyFill="1" applyBorder="1" applyAlignment="1" applyProtection="1">
      <alignment horizontal="right" vertical="center" indent="1"/>
      <protection hidden="1"/>
    </xf>
    <xf numFmtId="3" fontId="6" fillId="24" borderId="14" xfId="0" applyNumberFormat="1" applyFont="1" applyFill="1" applyBorder="1" applyAlignment="1" applyProtection="1">
      <alignment horizontal="right" vertical="center" indent="1"/>
      <protection hidden="1"/>
    </xf>
    <xf numFmtId="4" fontId="6" fillId="24" borderId="14" xfId="0" applyNumberFormat="1" applyFont="1" applyFill="1" applyBorder="1" applyAlignment="1" applyProtection="1">
      <alignment horizontal="right" vertical="center" indent="1"/>
      <protection hidden="1"/>
    </xf>
    <xf numFmtId="0" fontId="16" fillId="0" borderId="0" xfId="0" applyFont="1" applyAlignment="1" applyProtection="1">
      <alignment vertical="center"/>
      <protection hidden="1"/>
    </xf>
    <xf numFmtId="0" fontId="42" fillId="0" borderId="0" xfId="0" applyFont="1" applyAlignment="1" applyProtection="1">
      <alignment vertical="center"/>
      <protection hidden="1"/>
    </xf>
    <xf numFmtId="0" fontId="4" fillId="30" borderId="12" xfId="0" applyNumberFormat="1" applyFont="1" applyFill="1" applyBorder="1" applyAlignment="1" applyProtection="1">
      <alignment horizontal="left" vertical="center" indent="1"/>
      <protection locked="0" hidden="1"/>
    </xf>
    <xf numFmtId="0" fontId="4" fillId="30" borderId="13" xfId="0" applyNumberFormat="1" applyFont="1" applyFill="1" applyBorder="1" applyAlignment="1" applyProtection="1">
      <alignment horizontal="left" vertical="center" indent="1"/>
      <protection locked="0" hidden="1"/>
    </xf>
    <xf numFmtId="0" fontId="65" fillId="0" borderId="0" xfId="98" applyAlignment="1" applyProtection="1">
      <alignment horizontal="right" vertical="center"/>
    </xf>
    <xf numFmtId="0" fontId="0" fillId="0" borderId="0" xfId="0" quotePrefix="1"/>
    <xf numFmtId="3" fontId="6" fillId="30" borderId="10" xfId="0" applyNumberFormat="1" applyFont="1" applyFill="1" applyBorder="1" applyAlignment="1" applyProtection="1">
      <alignment horizontal="right" vertical="center" indent="1"/>
      <protection locked="0" hidden="1"/>
    </xf>
    <xf numFmtId="0" fontId="66" fillId="0" borderId="0" xfId="0" applyFont="1" applyAlignment="1" applyProtection="1">
      <alignment vertical="top"/>
      <protection locked="0" hidden="1"/>
    </xf>
    <xf numFmtId="0" fontId="51" fillId="0" borderId="0" xfId="0" applyFont="1" applyAlignment="1" applyProtection="1">
      <alignment vertical="center"/>
      <protection locked="0" hidden="1"/>
    </xf>
    <xf numFmtId="0" fontId="4" fillId="29" borderId="17" xfId="0" applyFont="1" applyFill="1" applyBorder="1" applyAlignment="1" applyProtection="1">
      <alignment horizontal="left" vertical="center" indent="1"/>
      <protection locked="0" hidden="1"/>
    </xf>
    <xf numFmtId="0" fontId="4" fillId="29" borderId="16" xfId="0" applyFont="1" applyFill="1" applyBorder="1" applyAlignment="1" applyProtection="1">
      <alignment horizontal="left" vertical="center" indent="1"/>
      <protection locked="0" hidden="1"/>
    </xf>
    <xf numFmtId="4" fontId="4" fillId="29" borderId="17" xfId="0" applyNumberFormat="1" applyFont="1" applyFill="1" applyBorder="1" applyAlignment="1" applyProtection="1">
      <alignment horizontal="right" vertical="center" indent="1"/>
      <protection locked="0" hidden="1"/>
    </xf>
    <xf numFmtId="3" fontId="4" fillId="29" borderId="14" xfId="0" applyNumberFormat="1" applyFont="1" applyFill="1" applyBorder="1" applyAlignment="1" applyProtection="1">
      <alignment horizontal="right" vertical="center" indent="1"/>
      <protection locked="0" hidden="1"/>
    </xf>
    <xf numFmtId="3" fontId="4" fillId="29" borderId="17" xfId="0" applyNumberFormat="1" applyFont="1" applyFill="1" applyBorder="1" applyAlignment="1" applyProtection="1">
      <alignment horizontal="right" vertical="center" indent="1"/>
      <protection locked="0" hidden="1"/>
    </xf>
    <xf numFmtId="169" fontId="4" fillId="29" borderId="66" xfId="78" applyNumberFormat="1" applyFont="1" applyFill="1" applyBorder="1" applyAlignment="1" applyProtection="1">
      <alignment horizontal="right" vertical="center"/>
      <protection locked="0" hidden="1"/>
    </xf>
    <xf numFmtId="169" fontId="4" fillId="29" borderId="14" xfId="78" applyNumberFormat="1" applyFont="1" applyFill="1" applyBorder="1" applyAlignment="1" applyProtection="1">
      <alignment horizontal="right" vertical="center"/>
      <protection locked="0" hidden="1"/>
    </xf>
    <xf numFmtId="169" fontId="4" fillId="29" borderId="67" xfId="78" applyNumberFormat="1" applyFont="1" applyFill="1" applyBorder="1" applyAlignment="1" applyProtection="1">
      <alignment horizontal="right" vertical="center"/>
      <protection locked="0" hidden="1"/>
    </xf>
    <xf numFmtId="3" fontId="9" fillId="29" borderId="14" xfId="0" applyNumberFormat="1" applyFont="1" applyFill="1" applyBorder="1" applyAlignment="1" applyProtection="1">
      <alignment horizontal="right" vertical="center" indent="1"/>
      <protection locked="0" hidden="1"/>
    </xf>
    <xf numFmtId="171" fontId="9" fillId="29" borderId="18" xfId="0" applyNumberFormat="1" applyFont="1" applyFill="1" applyBorder="1" applyAlignment="1" applyProtection="1">
      <alignment horizontal="right" vertical="center" indent="1"/>
      <protection locked="0" hidden="1"/>
    </xf>
    <xf numFmtId="174" fontId="9" fillId="29" borderId="14" xfId="0" applyNumberFormat="1" applyFont="1" applyFill="1" applyBorder="1" applyAlignment="1" applyProtection="1">
      <alignment horizontal="right" vertical="center" indent="1"/>
      <protection locked="0" hidden="1"/>
    </xf>
    <xf numFmtId="174" fontId="4" fillId="29" borderId="14" xfId="78" applyNumberFormat="1" applyFont="1" applyFill="1" applyBorder="1" applyAlignment="1" applyProtection="1">
      <alignment horizontal="right" vertical="center"/>
      <protection locked="0" hidden="1"/>
    </xf>
    <xf numFmtId="0" fontId="9" fillId="29" borderId="14" xfId="0" applyNumberFormat="1" applyFont="1" applyFill="1" applyBorder="1" applyAlignment="1" applyProtection="1">
      <alignment horizontal="left" vertical="center" indent="1"/>
      <protection locked="0" hidden="1"/>
    </xf>
    <xf numFmtId="0" fontId="7" fillId="29" borderId="14" xfId="0" applyNumberFormat="1" applyFont="1" applyFill="1" applyBorder="1" applyAlignment="1">
      <alignment horizontal="left" vertical="center" indent="1"/>
    </xf>
    <xf numFmtId="3" fontId="4" fillId="29" borderId="14" xfId="0" applyNumberFormat="1" applyFont="1" applyFill="1" applyBorder="1" applyAlignment="1">
      <alignment horizontal="right" vertical="center" indent="1"/>
    </xf>
    <xf numFmtId="170" fontId="4" fillId="29" borderId="37" xfId="78" applyNumberFormat="1" applyFont="1" applyFill="1" applyBorder="1" applyAlignment="1">
      <alignment horizontal="center" vertical="center"/>
    </xf>
    <xf numFmtId="3" fontId="4" fillId="29" borderId="23" xfId="78" applyNumberFormat="1" applyFont="1" applyFill="1" applyBorder="1" applyAlignment="1">
      <alignment horizontal="center" vertical="center"/>
    </xf>
    <xf numFmtId="3" fontId="4" fillId="29" borderId="16" xfId="78" applyNumberFormat="1" applyFont="1" applyFill="1" applyBorder="1" applyAlignment="1">
      <alignment horizontal="center" vertical="center"/>
    </xf>
    <xf numFmtId="4" fontId="4" fillId="29" borderId="22" xfId="78" applyNumberFormat="1" applyFont="1" applyFill="1" applyBorder="1" applyAlignment="1">
      <alignment vertical="center"/>
    </xf>
    <xf numFmtId="4" fontId="4" fillId="29" borderId="23" xfId="78" applyNumberFormat="1" applyFont="1" applyFill="1" applyBorder="1" applyAlignment="1">
      <alignment vertical="center"/>
    </xf>
    <xf numFmtId="4" fontId="4" fillId="29" borderId="18" xfId="78" applyNumberFormat="1" applyFont="1" applyFill="1" applyBorder="1" applyAlignment="1">
      <alignment vertical="center"/>
    </xf>
    <xf numFmtId="3" fontId="4" fillId="29" borderId="14" xfId="78" applyNumberFormat="1" applyFont="1" applyFill="1" applyBorder="1" applyAlignment="1">
      <alignment vertical="center"/>
    </xf>
    <xf numFmtId="3" fontId="4" fillId="29" borderId="37" xfId="78" applyNumberFormat="1" applyFont="1" applyFill="1" applyBorder="1" applyAlignment="1">
      <alignment vertical="center"/>
    </xf>
    <xf numFmtId="3" fontId="4" fillId="29" borderId="23" xfId="78" applyNumberFormat="1" applyFont="1" applyFill="1" applyBorder="1" applyAlignment="1">
      <alignment vertical="center"/>
    </xf>
    <xf numFmtId="3" fontId="4" fillId="29" borderId="37" xfId="78" applyNumberFormat="1" applyFont="1" applyFill="1" applyBorder="1" applyAlignment="1">
      <alignment horizontal="left" vertical="center" indent="1"/>
    </xf>
    <xf numFmtId="3" fontId="4" fillId="29" borderId="16" xfId="78" applyNumberFormat="1" applyFont="1" applyFill="1" applyBorder="1" applyAlignment="1">
      <alignment horizontal="left" vertical="center" indent="1"/>
    </xf>
    <xf numFmtId="172" fontId="4" fillId="29" borderId="14" xfId="78" applyNumberFormat="1" applyFont="1" applyFill="1" applyBorder="1" applyAlignment="1">
      <alignment horizontal="right" vertical="center" indent="1"/>
    </xf>
    <xf numFmtId="3" fontId="4" fillId="29" borderId="18" xfId="78" applyNumberFormat="1" applyFont="1" applyFill="1" applyBorder="1" applyAlignment="1">
      <alignment vertical="center"/>
    </xf>
    <xf numFmtId="3" fontId="4" fillId="29" borderId="16" xfId="78" applyNumberFormat="1" applyFont="1" applyFill="1" applyBorder="1" applyAlignment="1">
      <alignment vertical="center"/>
    </xf>
    <xf numFmtId="3" fontId="4" fillId="29" borderId="14" xfId="78" applyNumberFormat="1" applyFont="1" applyFill="1" applyBorder="1" applyAlignment="1">
      <alignment horizontal="center" vertical="center"/>
    </xf>
    <xf numFmtId="167" fontId="4" fillId="29" borderId="22" xfId="78" applyNumberFormat="1" applyFont="1" applyFill="1" applyBorder="1" applyAlignment="1">
      <alignment vertical="center"/>
    </xf>
    <xf numFmtId="167" fontId="4" fillId="29" borderId="23" xfId="78" applyNumberFormat="1" applyFont="1" applyFill="1" applyBorder="1" applyAlignment="1">
      <alignment vertical="center"/>
    </xf>
    <xf numFmtId="167" fontId="4" fillId="29" borderId="53" xfId="78" applyNumberFormat="1" applyFont="1" applyFill="1" applyBorder="1" applyAlignment="1">
      <alignment vertical="center"/>
    </xf>
    <xf numFmtId="9" fontId="4" fillId="29" borderId="17" xfId="78" applyFont="1" applyFill="1" applyBorder="1" applyAlignment="1">
      <alignment horizontal="center" vertical="center"/>
    </xf>
    <xf numFmtId="10" fontId="4" fillId="29" borderId="22" xfId="78" applyNumberFormat="1" applyFont="1" applyFill="1" applyBorder="1" applyAlignment="1">
      <alignment vertical="center"/>
    </xf>
    <xf numFmtId="10" fontId="4" fillId="29" borderId="23" xfId="78" applyNumberFormat="1" applyFont="1" applyFill="1" applyBorder="1" applyAlignment="1">
      <alignment vertical="center"/>
    </xf>
    <xf numFmtId="10" fontId="4" fillId="29" borderId="24" xfId="78" applyNumberFormat="1" applyFont="1" applyFill="1" applyBorder="1" applyAlignment="1">
      <alignment vertical="center"/>
    </xf>
    <xf numFmtId="9" fontId="4" fillId="29" borderId="14" xfId="78" applyFont="1" applyFill="1" applyBorder="1" applyAlignment="1">
      <alignment vertical="center"/>
    </xf>
    <xf numFmtId="3" fontId="4" fillId="0" borderId="70" xfId="78" applyNumberFormat="1" applyFont="1" applyFill="1" applyBorder="1" applyAlignment="1" applyProtection="1">
      <alignment horizontal="right" vertical="center"/>
      <protection locked="0" hidden="1"/>
    </xf>
    <xf numFmtId="3" fontId="4" fillId="0" borderId="12" xfId="78" applyNumberFormat="1" applyFont="1" applyFill="1" applyBorder="1" applyAlignment="1" applyProtection="1">
      <alignment horizontal="right" vertical="center"/>
      <protection locked="0" hidden="1"/>
    </xf>
    <xf numFmtId="3" fontId="4" fillId="0" borderId="71" xfId="78" applyNumberFormat="1" applyFont="1" applyFill="1" applyBorder="1" applyAlignment="1" applyProtection="1">
      <alignment horizontal="right" vertical="center"/>
      <protection locked="0" hidden="1"/>
    </xf>
    <xf numFmtId="174" fontId="4" fillId="0" borderId="12" xfId="78" applyNumberFormat="1" applyFont="1" applyFill="1" applyBorder="1" applyAlignment="1" applyProtection="1">
      <alignment horizontal="right" vertical="center"/>
      <protection locked="0" hidden="1"/>
    </xf>
    <xf numFmtId="0" fontId="4" fillId="0" borderId="12" xfId="0" applyNumberFormat="1" applyFont="1" applyFill="1" applyBorder="1" applyAlignment="1" applyProtection="1">
      <alignment horizontal="left" vertical="center" indent="1"/>
      <protection locked="0" hidden="1"/>
    </xf>
    <xf numFmtId="3" fontId="4" fillId="0" borderId="72" xfId="78" applyNumberFormat="1" applyFont="1" applyFill="1" applyBorder="1" applyAlignment="1" applyProtection="1">
      <alignment horizontal="right" vertical="center"/>
      <protection locked="0" hidden="1"/>
    </xf>
    <xf numFmtId="3" fontId="4" fillId="0" borderId="13" xfId="78" applyNumberFormat="1" applyFont="1" applyFill="1" applyBorder="1" applyAlignment="1" applyProtection="1">
      <alignment horizontal="right" vertical="center"/>
      <protection locked="0" hidden="1"/>
    </xf>
    <xf numFmtId="3" fontId="4" fillId="0" borderId="73" xfId="78" applyNumberFormat="1" applyFont="1" applyFill="1" applyBorder="1" applyAlignment="1" applyProtection="1">
      <alignment horizontal="right" vertical="center"/>
      <protection locked="0" hidden="1"/>
    </xf>
    <xf numFmtId="174" fontId="4" fillId="0" borderId="13" xfId="78" applyNumberFormat="1" applyFont="1" applyFill="1" applyBorder="1" applyAlignment="1" applyProtection="1">
      <alignment horizontal="right" vertical="center"/>
      <protection locked="0" hidden="1"/>
    </xf>
    <xf numFmtId="0" fontId="4" fillId="0" borderId="13" xfId="0" applyNumberFormat="1" applyFont="1" applyFill="1" applyBorder="1" applyAlignment="1" applyProtection="1">
      <alignment horizontal="left" vertical="center" indent="1"/>
      <protection locked="0" hidden="1"/>
    </xf>
    <xf numFmtId="168" fontId="6" fillId="0" borderId="10" xfId="0" applyNumberFormat="1" applyFont="1" applyFill="1" applyBorder="1" applyAlignment="1" applyProtection="1">
      <alignment horizontal="right" vertical="center" indent="1"/>
      <protection hidden="1"/>
    </xf>
    <xf numFmtId="168" fontId="46" fillId="0" borderId="10" xfId="0" applyNumberFormat="1" applyFont="1" applyFill="1" applyBorder="1" applyAlignment="1" applyProtection="1">
      <alignment horizontal="right" vertical="center" indent="1"/>
      <protection hidden="1"/>
    </xf>
    <xf numFmtId="168" fontId="46" fillId="0" borderId="12" xfId="0" applyNumberFormat="1" applyFont="1" applyFill="1" applyBorder="1" applyAlignment="1" applyProtection="1">
      <alignment horizontal="right" vertical="center" indent="1"/>
      <protection hidden="1"/>
    </xf>
    <xf numFmtId="10" fontId="6" fillId="0" borderId="12" xfId="0" applyNumberFormat="1" applyFont="1" applyFill="1" applyBorder="1" applyAlignment="1" applyProtection="1">
      <alignment horizontal="right" vertical="center" indent="1"/>
      <protection hidden="1"/>
    </xf>
    <xf numFmtId="10" fontId="6" fillId="0" borderId="15" xfId="0" applyNumberFormat="1" applyFont="1" applyFill="1" applyBorder="1" applyAlignment="1" applyProtection="1">
      <alignment horizontal="right" vertical="center" indent="1"/>
      <protection hidden="1"/>
    </xf>
    <xf numFmtId="10" fontId="6" fillId="0" borderId="33" xfId="0" applyNumberFormat="1" applyFont="1" applyFill="1" applyBorder="1" applyAlignment="1" applyProtection="1">
      <alignment horizontal="right" vertical="center" indent="1"/>
      <protection locked="0" hidden="1"/>
    </xf>
    <xf numFmtId="0" fontId="16" fillId="0" borderId="0" xfId="0" applyFont="1" applyAlignment="1" applyProtection="1">
      <alignment vertical="center"/>
      <protection locked="0" hidden="1"/>
    </xf>
    <xf numFmtId="3" fontId="4" fillId="0" borderId="10" xfId="78" applyNumberFormat="1" applyFont="1" applyFill="1" applyBorder="1" applyAlignment="1">
      <alignment horizontal="right" vertical="center" indent="1"/>
    </xf>
    <xf numFmtId="3" fontId="4" fillId="0" borderId="12" xfId="78" applyNumberFormat="1" applyFont="1" applyFill="1" applyBorder="1" applyAlignment="1">
      <alignment horizontal="right" vertical="center" indent="1"/>
    </xf>
    <xf numFmtId="9" fontId="9" fillId="0" borderId="0" xfId="78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4" fontId="6" fillId="0" borderId="11" xfId="0" applyNumberFormat="1" applyFont="1" applyFill="1" applyBorder="1" applyAlignment="1" applyProtection="1">
      <alignment horizontal="right" vertical="center" indent="1"/>
      <protection hidden="1"/>
    </xf>
    <xf numFmtId="4" fontId="9" fillId="30" borderId="46" xfId="0" applyNumberFormat="1" applyFont="1" applyFill="1" applyBorder="1" applyAlignment="1" applyProtection="1">
      <alignment horizontal="right" vertical="center" indent="1"/>
      <protection locked="0" hidden="1"/>
    </xf>
    <xf numFmtId="4" fontId="44" fillId="29" borderId="18" xfId="0" applyNumberFormat="1" applyFont="1" applyFill="1" applyBorder="1" applyAlignment="1" applyProtection="1">
      <alignment horizontal="right" vertical="center" indent="1"/>
      <protection hidden="1"/>
    </xf>
    <xf numFmtId="4" fontId="6" fillId="0" borderId="18" xfId="0" applyNumberFormat="1" applyFont="1" applyFill="1" applyBorder="1" applyAlignment="1" applyProtection="1">
      <alignment horizontal="right" vertical="center" indent="2"/>
      <protection hidden="1"/>
    </xf>
    <xf numFmtId="165" fontId="69" fillId="0" borderId="12" xfId="84" applyNumberFormat="1" applyFont="1" applyFill="1" applyBorder="1" applyAlignment="1">
      <alignment horizontal="right" vertical="center" indent="1"/>
    </xf>
    <xf numFmtId="165" fontId="69" fillId="0" borderId="15" xfId="84" applyNumberFormat="1" applyFont="1" applyFill="1" applyBorder="1" applyAlignment="1">
      <alignment horizontal="right" vertical="center" indent="1"/>
    </xf>
    <xf numFmtId="0" fontId="51" fillId="0" borderId="0" xfId="0" applyFont="1"/>
    <xf numFmtId="0" fontId="6" fillId="0" borderId="12" xfId="0" applyFont="1" applyFill="1" applyBorder="1" applyAlignment="1">
      <alignment horizontal="right" vertical="top" indent="1"/>
    </xf>
    <xf numFmtId="0" fontId="6" fillId="0" borderId="11" xfId="0" applyFont="1" applyFill="1" applyBorder="1" applyAlignment="1">
      <alignment horizontal="right" vertical="top" indent="1"/>
    </xf>
    <xf numFmtId="0" fontId="6" fillId="0" borderId="12" xfId="0" applyFont="1" applyFill="1" applyBorder="1" applyAlignment="1">
      <alignment horizontal="right" vertical="top" wrapText="1" indent="1"/>
    </xf>
    <xf numFmtId="0" fontId="58" fillId="0" borderId="0" xfId="0" applyFont="1"/>
    <xf numFmtId="3" fontId="67" fillId="0" borderId="54" xfId="0" applyNumberFormat="1" applyFont="1" applyFill="1" applyBorder="1" applyAlignment="1" applyProtection="1">
      <alignment horizontal="left" vertical="center"/>
      <protection locked="0" hidden="1"/>
    </xf>
    <xf numFmtId="0" fontId="65" fillId="28" borderId="57" xfId="98" applyFill="1" applyBorder="1" applyAlignment="1" applyProtection="1">
      <alignment horizontal="left" vertical="center"/>
      <protection locked="0" hidden="1"/>
    </xf>
    <xf numFmtId="0" fontId="6" fillId="33" borderId="0" xfId="77" applyFont="1" applyFill="1" applyBorder="1" applyAlignment="1">
      <alignment horizontal="center" vertical="center" wrapText="1"/>
    </xf>
    <xf numFmtId="0" fontId="6" fillId="33" borderId="14" xfId="77" applyFont="1" applyFill="1" applyBorder="1" applyAlignment="1">
      <alignment horizontal="center" vertical="center" wrapText="1"/>
    </xf>
    <xf numFmtId="0" fontId="9" fillId="33" borderId="14" xfId="77" applyFont="1" applyFill="1" applyBorder="1" applyAlignment="1">
      <alignment horizontal="center" vertical="center" wrapText="1"/>
    </xf>
    <xf numFmtId="9" fontId="9" fillId="33" borderId="14" xfId="77" applyNumberFormat="1" applyFont="1" applyFill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 wrapText="1"/>
    </xf>
    <xf numFmtId="0" fontId="9" fillId="33" borderId="0" xfId="77" applyFont="1" applyFill="1" applyBorder="1" applyAlignment="1">
      <alignment horizontal="center" vertical="center" wrapText="1"/>
    </xf>
    <xf numFmtId="9" fontId="9" fillId="33" borderId="0" xfId="78" applyFont="1" applyFill="1" applyBorder="1" applyAlignment="1">
      <alignment horizontal="center" vertical="center" wrapText="1"/>
    </xf>
    <xf numFmtId="0" fontId="9" fillId="33" borderId="0" xfId="0" applyFont="1" applyFill="1" applyBorder="1" applyAlignment="1">
      <alignment horizontal="left" vertical="center" wrapText="1"/>
    </xf>
    <xf numFmtId="0" fontId="9" fillId="33" borderId="0" xfId="0" applyFont="1" applyFill="1" applyBorder="1" applyAlignment="1">
      <alignment horizontal="center" vertical="center" wrapText="1"/>
    </xf>
    <xf numFmtId="0" fontId="9" fillId="33" borderId="15" xfId="0" applyFont="1" applyFill="1" applyBorder="1" applyAlignment="1">
      <alignment horizontal="center" vertical="center" wrapText="1"/>
    </xf>
    <xf numFmtId="0" fontId="9" fillId="33" borderId="12" xfId="0" applyFont="1" applyFill="1" applyBorder="1" applyAlignment="1">
      <alignment horizontal="left" vertical="center" wrapText="1"/>
    </xf>
    <xf numFmtId="0" fontId="9" fillId="33" borderId="12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9" fontId="9" fillId="0" borderId="61" xfId="78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/>
    </xf>
    <xf numFmtId="0" fontId="71" fillId="0" borderId="0" xfId="0" applyFont="1" applyAlignment="1" applyProtection="1">
      <alignment vertical="center"/>
      <protection hidden="1"/>
    </xf>
    <xf numFmtId="0" fontId="70" fillId="0" borderId="0" xfId="0" applyFont="1" applyAlignment="1" applyProtection="1">
      <alignment vertical="center"/>
      <protection hidden="1"/>
    </xf>
    <xf numFmtId="166" fontId="70" fillId="26" borderId="11" xfId="78" applyNumberFormat="1" applyFont="1" applyFill="1" applyBorder="1" applyAlignment="1" applyProtection="1">
      <alignment horizontal="right" vertical="center" indent="1"/>
      <protection hidden="1"/>
    </xf>
    <xf numFmtId="165" fontId="69" fillId="0" borderId="10" xfId="84" applyNumberFormat="1" applyFont="1" applyFill="1" applyBorder="1" applyAlignment="1">
      <alignment horizontal="right" vertical="center" indent="1"/>
    </xf>
    <xf numFmtId="0" fontId="9" fillId="0" borderId="0" xfId="0" applyFont="1" applyBorder="1" applyAlignment="1">
      <alignment vertical="center"/>
    </xf>
    <xf numFmtId="0" fontId="9" fillId="0" borderId="11" xfId="0" applyFont="1" applyFill="1" applyBorder="1" applyAlignment="1">
      <alignment horizontal="left" vertical="center" wrapText="1" indent="1"/>
    </xf>
    <xf numFmtId="0" fontId="9" fillId="0" borderId="0" xfId="0" applyFont="1" applyBorder="1" applyAlignment="1">
      <alignment vertical="center" wrapText="1"/>
    </xf>
    <xf numFmtId="9" fontId="9" fillId="0" borderId="12" xfId="78" applyFont="1" applyBorder="1" applyAlignment="1">
      <alignment horizontal="left" vertical="center"/>
    </xf>
    <xf numFmtId="9" fontId="9" fillId="0" borderId="15" xfId="78" applyFont="1" applyBorder="1" applyAlignment="1">
      <alignment horizontal="left" vertical="center"/>
    </xf>
    <xf numFmtId="3" fontId="72" fillId="0" borderId="54" xfId="0" applyNumberFormat="1" applyFont="1" applyFill="1" applyBorder="1" applyAlignment="1" applyProtection="1">
      <alignment horizontal="left" vertical="center"/>
      <protection locked="0" hidden="1"/>
    </xf>
    <xf numFmtId="0" fontId="9" fillId="0" borderId="55" xfId="77" applyFont="1" applyFill="1" applyBorder="1" applyAlignment="1">
      <alignment vertical="center" wrapText="1"/>
    </xf>
    <xf numFmtId="0" fontId="9" fillId="0" borderId="33" xfId="77" applyFont="1" applyFill="1" applyBorder="1" applyAlignment="1">
      <alignment vertical="center" wrapText="1"/>
    </xf>
    <xf numFmtId="0" fontId="65" fillId="0" borderId="21" xfId="98" applyBorder="1" applyAlignment="1" applyProtection="1">
      <alignment horizontal="left" indent="1"/>
    </xf>
    <xf numFmtId="166" fontId="9" fillId="33" borderId="32" xfId="78" applyNumberFormat="1" applyFont="1" applyFill="1" applyBorder="1" applyAlignment="1" applyProtection="1">
      <alignment horizontal="right" vertical="center" indent="1"/>
      <protection hidden="1"/>
    </xf>
    <xf numFmtId="171" fontId="9" fillId="33" borderId="12" xfId="0" applyNumberFormat="1" applyFont="1" applyFill="1" applyBorder="1" applyAlignment="1" applyProtection="1">
      <alignment horizontal="right" vertical="center" indent="1"/>
      <protection hidden="1"/>
    </xf>
    <xf numFmtId="4" fontId="73" fillId="30" borderId="43" xfId="0" applyNumberFormat="1" applyFont="1" applyFill="1" applyBorder="1" applyAlignment="1" applyProtection="1">
      <alignment horizontal="right" vertical="center" indent="1"/>
      <protection locked="0" hidden="1"/>
    </xf>
    <xf numFmtId="166" fontId="73" fillId="33" borderId="45" xfId="78" applyNumberFormat="1" applyFont="1" applyFill="1" applyBorder="1" applyAlignment="1" applyProtection="1">
      <alignment horizontal="right" vertical="center" indent="1"/>
      <protection hidden="1"/>
    </xf>
    <xf numFmtId="171" fontId="73" fillId="33" borderId="11" xfId="0" applyNumberFormat="1" applyFont="1" applyFill="1" applyBorder="1" applyAlignment="1" applyProtection="1">
      <alignment horizontal="right" vertical="center" indent="1"/>
      <protection hidden="1"/>
    </xf>
    <xf numFmtId="174" fontId="4" fillId="34" borderId="12" xfId="78" applyNumberFormat="1" applyFont="1" applyFill="1" applyBorder="1" applyAlignment="1" applyProtection="1">
      <alignment horizontal="right" vertical="center"/>
      <protection locked="0" hidden="1"/>
    </xf>
    <xf numFmtId="0" fontId="4" fillId="29" borderId="12" xfId="0" applyNumberFormat="1" applyFont="1" applyFill="1" applyBorder="1" applyAlignment="1" applyProtection="1">
      <alignment horizontal="left" vertical="center" indent="1"/>
      <protection locked="0" hidden="1"/>
    </xf>
    <xf numFmtId="0" fontId="69" fillId="0" borderId="0" xfId="0" applyFont="1"/>
    <xf numFmtId="0" fontId="74" fillId="0" borderId="0" xfId="0" applyFont="1" applyAlignment="1" applyProtection="1">
      <alignment vertical="center"/>
      <protection locked="0" hidden="1"/>
    </xf>
    <xf numFmtId="0" fontId="75" fillId="28" borderId="34" xfId="0" applyFont="1" applyFill="1" applyBorder="1" applyAlignment="1" applyProtection="1">
      <alignment horizontal="left" vertical="center" indent="2"/>
      <protection locked="0" hidden="1"/>
    </xf>
    <xf numFmtId="4" fontId="76" fillId="0" borderId="34" xfId="0" applyNumberFormat="1" applyFont="1" applyFill="1" applyBorder="1" applyAlignment="1" applyProtection="1">
      <alignment horizontal="right" vertical="center" indent="1"/>
      <protection locked="0" hidden="1"/>
    </xf>
    <xf numFmtId="4" fontId="75" fillId="0" borderId="34" xfId="0" applyNumberFormat="1" applyFont="1" applyFill="1" applyBorder="1" applyAlignment="1" applyProtection="1">
      <alignment horizontal="right" vertical="center" indent="1"/>
      <protection locked="0" hidden="1"/>
    </xf>
    <xf numFmtId="3" fontId="75" fillId="0" borderId="10" xfId="0" applyNumberFormat="1" applyFont="1" applyFill="1" applyBorder="1" applyAlignment="1" applyProtection="1">
      <alignment horizontal="right" vertical="center" indent="1"/>
      <protection locked="0" hidden="1"/>
    </xf>
    <xf numFmtId="3" fontId="75" fillId="0" borderId="34" xfId="0" applyNumberFormat="1" applyFont="1" applyFill="1" applyBorder="1" applyAlignment="1" applyProtection="1">
      <alignment horizontal="right" vertical="center" indent="1"/>
      <protection locked="0" hidden="1"/>
    </xf>
    <xf numFmtId="10" fontId="77" fillId="0" borderId="68" xfId="78" applyNumberFormat="1" applyFont="1" applyFill="1" applyBorder="1" applyAlignment="1" applyProtection="1">
      <alignment horizontal="right" vertical="center"/>
      <protection locked="0" hidden="1"/>
    </xf>
    <xf numFmtId="10" fontId="77" fillId="0" borderId="10" xfId="78" applyNumberFormat="1" applyFont="1" applyFill="1" applyBorder="1" applyAlignment="1" applyProtection="1">
      <alignment horizontal="right" vertical="center"/>
      <protection locked="0" hidden="1"/>
    </xf>
    <xf numFmtId="10" fontId="77" fillId="0" borderId="69" xfId="78" applyNumberFormat="1" applyFont="1" applyFill="1" applyBorder="1" applyAlignment="1" applyProtection="1">
      <alignment horizontal="right" vertical="center"/>
      <protection locked="0" hidden="1"/>
    </xf>
    <xf numFmtId="3" fontId="75" fillId="30" borderId="10" xfId="0" applyNumberFormat="1" applyFont="1" applyFill="1" applyBorder="1" applyAlignment="1" applyProtection="1">
      <alignment horizontal="right" vertical="center" indent="1"/>
      <protection locked="0" hidden="1"/>
    </xf>
    <xf numFmtId="171" fontId="75" fillId="0" borderId="31" xfId="0" applyNumberFormat="1" applyFont="1" applyFill="1" applyBorder="1" applyAlignment="1" applyProtection="1">
      <alignment horizontal="right" vertical="center" indent="1"/>
      <protection locked="0" hidden="1"/>
    </xf>
    <xf numFmtId="0" fontId="76" fillId="0" borderId="10" xfId="0" applyNumberFormat="1" applyFont="1" applyFill="1" applyBorder="1" applyAlignment="1" applyProtection="1">
      <alignment horizontal="right" vertical="center"/>
      <protection locked="0" hidden="1"/>
    </xf>
    <xf numFmtId="174" fontId="77" fillId="0" borderId="10" xfId="78" applyNumberFormat="1" applyFont="1" applyFill="1" applyBorder="1" applyAlignment="1" applyProtection="1">
      <alignment horizontal="right" vertical="center"/>
      <protection locked="0" hidden="1"/>
    </xf>
    <xf numFmtId="0" fontId="76" fillId="0" borderId="10" xfId="0" applyNumberFormat="1" applyFont="1" applyFill="1" applyBorder="1" applyAlignment="1" applyProtection="1">
      <alignment horizontal="left" vertical="center" indent="1"/>
      <protection locked="0" hidden="1"/>
    </xf>
    <xf numFmtId="0" fontId="78" fillId="28" borderId="11" xfId="0" applyNumberFormat="1" applyFont="1" applyFill="1" applyBorder="1" applyAlignment="1">
      <alignment horizontal="left" vertical="center" indent="1"/>
    </xf>
    <xf numFmtId="3" fontId="77" fillId="28" borderId="12" xfId="0" applyNumberFormat="1" applyFont="1" applyFill="1" applyBorder="1" applyAlignment="1">
      <alignment horizontal="right" vertical="center" indent="1"/>
    </xf>
    <xf numFmtId="170" fontId="77" fillId="28" borderId="35" xfId="78" applyNumberFormat="1" applyFont="1" applyFill="1" applyBorder="1" applyAlignment="1">
      <alignment horizontal="center" vertical="center"/>
    </xf>
    <xf numFmtId="3" fontId="77" fillId="28" borderId="27" xfId="78" applyNumberFormat="1" applyFont="1" applyFill="1" applyBorder="1" applyAlignment="1">
      <alignment horizontal="center" vertical="center"/>
    </xf>
    <xf numFmtId="3" fontId="77" fillId="28" borderId="54" xfId="78" applyNumberFormat="1" applyFont="1" applyFill="1" applyBorder="1" applyAlignment="1">
      <alignment horizontal="center" vertical="center"/>
    </xf>
    <xf numFmtId="4" fontId="77" fillId="28" borderId="26" xfId="78" applyNumberFormat="1" applyFont="1" applyFill="1" applyBorder="1" applyAlignment="1">
      <alignment vertical="center"/>
    </xf>
    <xf numFmtId="4" fontId="77" fillId="28" borderId="27" xfId="78" applyNumberFormat="1" applyFont="1" applyFill="1" applyBorder="1" applyAlignment="1">
      <alignment vertical="center"/>
    </xf>
    <xf numFmtId="4" fontId="77" fillId="28" borderId="32" xfId="78" applyNumberFormat="1" applyFont="1" applyFill="1" applyBorder="1" applyAlignment="1">
      <alignment vertical="center"/>
    </xf>
    <xf numFmtId="3" fontId="77" fillId="28" borderId="12" xfId="78" applyNumberFormat="1" applyFont="1" applyFill="1" applyBorder="1" applyAlignment="1">
      <alignment vertical="center"/>
    </xf>
    <xf numFmtId="3" fontId="77" fillId="28" borderId="35" xfId="78" applyNumberFormat="1" applyFont="1" applyFill="1" applyBorder="1" applyAlignment="1">
      <alignment vertical="center"/>
    </xf>
    <xf numFmtId="3" fontId="77" fillId="28" borderId="27" xfId="78" applyNumberFormat="1" applyFont="1" applyFill="1" applyBorder="1" applyAlignment="1">
      <alignment vertical="center"/>
    </xf>
    <xf numFmtId="3" fontId="77" fillId="28" borderId="35" xfId="78" applyNumberFormat="1" applyFont="1" applyFill="1" applyBorder="1" applyAlignment="1">
      <alignment horizontal="left" vertical="center" indent="1"/>
    </xf>
    <xf numFmtId="3" fontId="77" fillId="28" borderId="54" xfId="78" applyNumberFormat="1" applyFont="1" applyFill="1" applyBorder="1" applyAlignment="1">
      <alignment horizontal="left" vertical="center" indent="1"/>
    </xf>
    <xf numFmtId="172" fontId="77" fillId="28" borderId="12" xfId="78" applyNumberFormat="1" applyFont="1" applyFill="1" applyBorder="1" applyAlignment="1">
      <alignment horizontal="right" vertical="center" indent="1"/>
    </xf>
    <xf numFmtId="3" fontId="77" fillId="28" borderId="54" xfId="78" applyNumberFormat="1" applyFont="1" applyFill="1" applyBorder="1" applyAlignment="1">
      <alignment vertical="center"/>
    </xf>
    <xf numFmtId="3" fontId="77" fillId="28" borderId="12" xfId="78" applyNumberFormat="1" applyFont="1" applyFill="1" applyBorder="1" applyAlignment="1">
      <alignment horizontal="center" vertical="center"/>
    </xf>
    <xf numFmtId="167" fontId="77" fillId="28" borderId="26" xfId="78" applyNumberFormat="1" applyFont="1" applyFill="1" applyBorder="1" applyAlignment="1">
      <alignment vertical="center"/>
    </xf>
    <xf numFmtId="167" fontId="77" fillId="28" borderId="27" xfId="78" applyNumberFormat="1" applyFont="1" applyFill="1" applyBorder="1" applyAlignment="1">
      <alignment vertical="center"/>
    </xf>
    <xf numFmtId="167" fontId="77" fillId="28" borderId="58" xfId="78" applyNumberFormat="1" applyFont="1" applyFill="1" applyBorder="1" applyAlignment="1">
      <alignment vertical="center"/>
    </xf>
    <xf numFmtId="9" fontId="77" fillId="28" borderId="19" xfId="78" applyFont="1" applyFill="1" applyBorder="1" applyAlignment="1">
      <alignment horizontal="center" vertical="center"/>
    </xf>
    <xf numFmtId="10" fontId="77" fillId="28" borderId="26" xfId="78" applyNumberFormat="1" applyFont="1" applyFill="1" applyBorder="1" applyAlignment="1">
      <alignment vertical="center"/>
    </xf>
    <xf numFmtId="10" fontId="77" fillId="28" borderId="27" xfId="78" applyNumberFormat="1" applyFont="1" applyFill="1" applyBorder="1" applyAlignment="1">
      <alignment vertical="center"/>
    </xf>
    <xf numFmtId="10" fontId="77" fillId="28" borderId="29" xfId="78" applyNumberFormat="1" applyFont="1" applyFill="1" applyBorder="1" applyAlignment="1">
      <alignment vertical="center"/>
    </xf>
    <xf numFmtId="9" fontId="77" fillId="28" borderId="11" xfId="78" applyFont="1" applyFill="1" applyBorder="1" applyAlignment="1">
      <alignment vertical="center"/>
    </xf>
    <xf numFmtId="167" fontId="77" fillId="32" borderId="38" xfId="78" applyNumberFormat="1" applyFont="1" applyFill="1" applyBorder="1" applyAlignment="1">
      <alignment vertical="center"/>
    </xf>
    <xf numFmtId="0" fontId="77" fillId="0" borderId="0" xfId="0" applyFont="1" applyAlignment="1">
      <alignment vertical="center"/>
    </xf>
    <xf numFmtId="0" fontId="77" fillId="0" borderId="0" xfId="0" applyFont="1" applyAlignment="1" applyProtection="1">
      <alignment vertical="center"/>
      <protection locked="0" hidden="1"/>
    </xf>
    <xf numFmtId="0" fontId="77" fillId="0" borderId="19" xfId="0" applyFont="1" applyFill="1" applyBorder="1" applyAlignment="1" applyProtection="1">
      <alignment horizontal="left" vertical="center" indent="1"/>
      <protection locked="0" hidden="1"/>
    </xf>
    <xf numFmtId="3" fontId="79" fillId="0" borderId="54" xfId="0" applyNumberFormat="1" applyFont="1" applyFill="1" applyBorder="1" applyAlignment="1" applyProtection="1">
      <alignment horizontal="left" vertical="center"/>
      <protection locked="0" hidden="1"/>
    </xf>
    <xf numFmtId="4" fontId="77" fillId="0" borderId="19" xfId="0" applyNumberFormat="1" applyFont="1" applyFill="1" applyBorder="1" applyAlignment="1" applyProtection="1">
      <alignment horizontal="right" vertical="center" indent="1"/>
      <protection locked="0" hidden="1"/>
    </xf>
    <xf numFmtId="3" fontId="77" fillId="0" borderId="12" xfId="0" applyNumberFormat="1" applyFont="1" applyFill="1" applyBorder="1" applyAlignment="1" applyProtection="1">
      <alignment horizontal="right" vertical="center" indent="1"/>
      <protection locked="0" hidden="1"/>
    </xf>
    <xf numFmtId="3" fontId="77" fillId="0" borderId="19" xfId="0" applyNumberFormat="1" applyFont="1" applyFill="1" applyBorder="1" applyAlignment="1" applyProtection="1">
      <alignment horizontal="right" vertical="center" indent="1"/>
      <protection locked="0" hidden="1"/>
    </xf>
    <xf numFmtId="3" fontId="77" fillId="30" borderId="70" xfId="78" applyNumberFormat="1" applyFont="1" applyFill="1" applyBorder="1" applyAlignment="1" applyProtection="1">
      <alignment horizontal="right" vertical="center"/>
      <protection locked="0" hidden="1"/>
    </xf>
    <xf numFmtId="3" fontId="77" fillId="30" borderId="12" xfId="78" applyNumberFormat="1" applyFont="1" applyFill="1" applyBorder="1" applyAlignment="1" applyProtection="1">
      <alignment horizontal="right" vertical="center"/>
      <protection locked="0" hidden="1"/>
    </xf>
    <xf numFmtId="3" fontId="77" fillId="30" borderId="71" xfId="78" applyNumberFormat="1" applyFont="1" applyFill="1" applyBorder="1" applyAlignment="1" applyProtection="1">
      <alignment horizontal="right" vertical="center"/>
      <protection locked="0" hidden="1"/>
    </xf>
    <xf numFmtId="171" fontId="76" fillId="0" borderId="32" xfId="0" applyNumberFormat="1" applyFont="1" applyFill="1" applyBorder="1" applyAlignment="1" applyProtection="1">
      <alignment horizontal="right" vertical="center" indent="1"/>
      <protection locked="0" hidden="1"/>
    </xf>
    <xf numFmtId="174" fontId="77" fillId="0" borderId="12" xfId="0" applyNumberFormat="1" applyFont="1" applyFill="1" applyBorder="1" applyAlignment="1" applyProtection="1">
      <alignment horizontal="right" vertical="center" indent="1"/>
      <protection locked="0" hidden="1"/>
    </xf>
    <xf numFmtId="174" fontId="77" fillId="30" borderId="12" xfId="78" applyNumberFormat="1" applyFont="1" applyFill="1" applyBorder="1" applyAlignment="1" applyProtection="1">
      <alignment horizontal="right" vertical="center"/>
      <protection locked="0" hidden="1"/>
    </xf>
    <xf numFmtId="0" fontId="77" fillId="30" borderId="12" xfId="0" applyNumberFormat="1" applyFont="1" applyFill="1" applyBorder="1" applyAlignment="1" applyProtection="1">
      <alignment horizontal="left" vertical="center" indent="1"/>
      <protection locked="0" hidden="1"/>
    </xf>
    <xf numFmtId="0" fontId="78" fillId="35" borderId="12" xfId="0" applyNumberFormat="1" applyFont="1" applyFill="1" applyBorder="1" applyAlignment="1">
      <alignment horizontal="left" vertical="center" indent="1"/>
    </xf>
    <xf numFmtId="3" fontId="77" fillId="0" borderId="12" xfId="0" applyNumberFormat="1" applyFont="1" applyFill="1" applyBorder="1" applyAlignment="1">
      <alignment horizontal="right" vertical="center" indent="1"/>
    </xf>
    <xf numFmtId="170" fontId="77" fillId="27" borderId="35" xfId="78" applyNumberFormat="1" applyFont="1" applyFill="1" applyBorder="1" applyAlignment="1">
      <alignment horizontal="center" vertical="center"/>
    </xf>
    <xf numFmtId="3" fontId="77" fillId="27" borderId="27" xfId="78" applyNumberFormat="1" applyFont="1" applyFill="1" applyBorder="1" applyAlignment="1">
      <alignment horizontal="center" vertical="center"/>
    </xf>
    <xf numFmtId="3" fontId="77" fillId="27" borderId="54" xfId="78" applyNumberFormat="1" applyFont="1" applyFill="1" applyBorder="1" applyAlignment="1">
      <alignment horizontal="center" vertical="center"/>
    </xf>
    <xf numFmtId="4" fontId="77" fillId="0" borderId="26" xfId="78" applyNumberFormat="1" applyFont="1" applyFill="1" applyBorder="1" applyAlignment="1">
      <alignment vertical="center"/>
    </xf>
    <xf numFmtId="4" fontId="77" fillId="0" borderId="27" xfId="78" applyNumberFormat="1" applyFont="1" applyFill="1" applyBorder="1" applyAlignment="1">
      <alignment vertical="center"/>
    </xf>
    <xf numFmtId="4" fontId="77" fillId="0" borderId="32" xfId="78" applyNumberFormat="1" applyFont="1" applyFill="1" applyBorder="1" applyAlignment="1">
      <alignment vertical="center"/>
    </xf>
    <xf numFmtId="3" fontId="77" fillId="0" borderId="12" xfId="78" applyNumberFormat="1" applyFont="1" applyFill="1" applyBorder="1" applyAlignment="1">
      <alignment vertical="center"/>
    </xf>
    <xf numFmtId="3" fontId="77" fillId="0" borderId="35" xfId="78" applyNumberFormat="1" applyFont="1" applyFill="1" applyBorder="1" applyAlignment="1">
      <alignment vertical="center"/>
    </xf>
    <xf numFmtId="3" fontId="77" fillId="0" borderId="27" xfId="78" applyNumberFormat="1" applyFont="1" applyFill="1" applyBorder="1" applyAlignment="1">
      <alignment vertical="center"/>
    </xf>
    <xf numFmtId="3" fontId="77" fillId="27" borderId="35" xfId="78" applyNumberFormat="1" applyFont="1" applyFill="1" applyBorder="1" applyAlignment="1">
      <alignment horizontal="left" vertical="center" indent="1"/>
    </xf>
    <xf numFmtId="172" fontId="77" fillId="0" borderId="12" xfId="78" applyNumberFormat="1" applyFont="1" applyFill="1" applyBorder="1" applyAlignment="1">
      <alignment horizontal="right" vertical="center" indent="1"/>
    </xf>
    <xf numFmtId="3" fontId="77" fillId="0" borderId="54" xfId="78" applyNumberFormat="1" applyFont="1" applyFill="1" applyBorder="1" applyAlignment="1">
      <alignment vertical="center"/>
    </xf>
    <xf numFmtId="3" fontId="77" fillId="27" borderId="12" xfId="78" applyNumberFormat="1" applyFont="1" applyFill="1" applyBorder="1" applyAlignment="1">
      <alignment horizontal="center" vertical="center"/>
    </xf>
    <xf numFmtId="167" fontId="77" fillId="0" borderId="26" xfId="78" applyNumberFormat="1" applyFont="1" applyFill="1" applyBorder="1" applyAlignment="1">
      <alignment vertical="center"/>
    </xf>
    <xf numFmtId="167" fontId="77" fillId="0" borderId="27" xfId="78" applyNumberFormat="1" applyFont="1" applyFill="1" applyBorder="1" applyAlignment="1">
      <alignment vertical="center"/>
    </xf>
    <xf numFmtId="167" fontId="77" fillId="0" borderId="58" xfId="78" applyNumberFormat="1" applyFont="1" applyFill="1" applyBorder="1" applyAlignment="1">
      <alignment vertical="center"/>
    </xf>
    <xf numFmtId="9" fontId="77" fillId="0" borderId="19" xfId="78" applyFont="1" applyFill="1" applyBorder="1" applyAlignment="1">
      <alignment horizontal="center" vertical="center"/>
    </xf>
    <xf numFmtId="10" fontId="77" fillId="0" borderId="26" xfId="78" applyNumberFormat="1" applyFont="1" applyFill="1" applyBorder="1" applyAlignment="1">
      <alignment vertical="center"/>
    </xf>
    <xf numFmtId="10" fontId="77" fillId="0" borderId="27" xfId="78" applyNumberFormat="1" applyFont="1" applyFill="1" applyBorder="1" applyAlignment="1">
      <alignment vertical="center"/>
    </xf>
    <xf numFmtId="10" fontId="77" fillId="0" borderId="29" xfId="78" applyNumberFormat="1" applyFont="1" applyFill="1" applyBorder="1" applyAlignment="1">
      <alignment vertical="center"/>
    </xf>
    <xf numFmtId="9" fontId="77" fillId="0" borderId="12" xfId="78" applyFont="1" applyFill="1" applyBorder="1" applyAlignment="1">
      <alignment vertical="center"/>
    </xf>
    <xf numFmtId="0" fontId="77" fillId="0" borderId="56" xfId="0" applyFont="1" applyFill="1" applyBorder="1" applyAlignment="1" applyProtection="1">
      <alignment horizontal="left" vertical="center" indent="1"/>
      <protection locked="0" hidden="1"/>
    </xf>
    <xf numFmtId="4" fontId="77" fillId="0" borderId="56" xfId="0" applyNumberFormat="1" applyFont="1" applyFill="1" applyBorder="1" applyAlignment="1" applyProtection="1">
      <alignment horizontal="right" vertical="center" indent="1"/>
      <protection locked="0" hidden="1"/>
    </xf>
    <xf numFmtId="3" fontId="77" fillId="0" borderId="13" xfId="0" applyNumberFormat="1" applyFont="1" applyFill="1" applyBorder="1" applyAlignment="1" applyProtection="1">
      <alignment horizontal="right" vertical="center" indent="1"/>
      <protection locked="0" hidden="1"/>
    </xf>
    <xf numFmtId="3" fontId="77" fillId="30" borderId="72" xfId="78" applyNumberFormat="1" applyFont="1" applyFill="1" applyBorder="1" applyAlignment="1" applyProtection="1">
      <alignment horizontal="right" vertical="center"/>
      <protection locked="0" hidden="1"/>
    </xf>
    <xf numFmtId="3" fontId="77" fillId="30" borderId="13" xfId="78" applyNumberFormat="1" applyFont="1" applyFill="1" applyBorder="1" applyAlignment="1" applyProtection="1">
      <alignment horizontal="right" vertical="center"/>
      <protection locked="0" hidden="1"/>
    </xf>
    <xf numFmtId="3" fontId="77" fillId="30" borderId="73" xfId="78" applyNumberFormat="1" applyFont="1" applyFill="1" applyBorder="1" applyAlignment="1" applyProtection="1">
      <alignment horizontal="right" vertical="center"/>
      <protection locked="0" hidden="1"/>
    </xf>
    <xf numFmtId="171" fontId="76" fillId="0" borderId="46" xfId="0" applyNumberFormat="1" applyFont="1" applyFill="1" applyBorder="1" applyAlignment="1" applyProtection="1">
      <alignment horizontal="right" vertical="center" indent="1"/>
      <protection locked="0" hidden="1"/>
    </xf>
    <xf numFmtId="174" fontId="77" fillId="30" borderId="13" xfId="78" applyNumberFormat="1" applyFont="1" applyFill="1" applyBorder="1" applyAlignment="1" applyProtection="1">
      <alignment horizontal="right" vertical="center"/>
      <protection locked="0" hidden="1"/>
    </xf>
    <xf numFmtId="0" fontId="77" fillId="30" borderId="13" xfId="0" applyNumberFormat="1" applyFont="1" applyFill="1" applyBorder="1" applyAlignment="1" applyProtection="1">
      <alignment horizontal="left" vertical="center" indent="1"/>
      <protection locked="0" hidden="1"/>
    </xf>
    <xf numFmtId="0" fontId="9" fillId="0" borderId="44" xfId="0" applyFont="1" applyBorder="1" applyAlignment="1">
      <alignment horizontal="left" vertical="center" indent="1"/>
    </xf>
    <xf numFmtId="0" fontId="9" fillId="0" borderId="0" xfId="0" applyFont="1" applyBorder="1" applyAlignment="1">
      <alignment horizontal="left" vertical="center" wrapText="1" indent="1"/>
    </xf>
    <xf numFmtId="0" fontId="9" fillId="0" borderId="0" xfId="0" applyFont="1" applyBorder="1" applyAlignment="1">
      <alignment horizontal="left" vertical="center" indent="1"/>
    </xf>
    <xf numFmtId="3" fontId="81" fillId="0" borderId="12" xfId="0" applyNumberFormat="1" applyFont="1" applyFill="1" applyBorder="1" applyAlignment="1">
      <alignment horizontal="left" vertical="center" wrapText="1"/>
    </xf>
    <xf numFmtId="0" fontId="69" fillId="0" borderId="11" xfId="0" applyFont="1" applyBorder="1" applyAlignment="1">
      <alignment horizontal="center" vertical="center" wrapText="1"/>
    </xf>
    <xf numFmtId="0" fontId="9" fillId="33" borderId="15" xfId="0" applyFont="1" applyFill="1" applyBorder="1" applyAlignment="1">
      <alignment horizontal="left" vertical="center"/>
    </xf>
    <xf numFmtId="9" fontId="9" fillId="0" borderId="10" xfId="78" applyFont="1" applyBorder="1" applyAlignment="1">
      <alignment horizontal="left" vertical="center"/>
    </xf>
    <xf numFmtId="0" fontId="9" fillId="0" borderId="12" xfId="0" applyFont="1" applyBorder="1" applyAlignment="1">
      <alignment horizontal="left" vertical="center" wrapText="1" indent="1"/>
    </xf>
    <xf numFmtId="0" fontId="9" fillId="0" borderId="15" xfId="0" applyFont="1" applyBorder="1" applyAlignment="1">
      <alignment horizontal="left" vertical="center" indent="1"/>
    </xf>
    <xf numFmtId="0" fontId="9" fillId="0" borderId="0" xfId="77" applyFont="1" applyFill="1" applyBorder="1" applyAlignment="1">
      <alignment vertical="center"/>
    </xf>
    <xf numFmtId="0" fontId="69" fillId="0" borderId="44" xfId="77" applyFont="1" applyFill="1" applyBorder="1" applyAlignment="1">
      <alignment horizontal="left" vertical="center" indent="1"/>
    </xf>
    <xf numFmtId="0" fontId="65" fillId="0" borderId="0" xfId="98" applyAlignment="1" applyProtection="1"/>
    <xf numFmtId="0" fontId="82" fillId="0" borderId="0" xfId="0" applyFont="1"/>
    <xf numFmtId="0" fontId="9" fillId="0" borderId="0" xfId="0" applyFont="1" applyBorder="1" applyAlignment="1">
      <alignment horizontal="center" vertical="center" wrapText="1"/>
    </xf>
    <xf numFmtId="0" fontId="9" fillId="33" borderId="0" xfId="77" applyFont="1" applyFill="1" applyBorder="1" applyAlignment="1">
      <alignment horizontal="left" vertical="center" indent="1"/>
    </xf>
    <xf numFmtId="0" fontId="9" fillId="0" borderId="0" xfId="77" applyFont="1" applyFill="1" applyBorder="1" applyAlignment="1">
      <alignment horizontal="left" vertical="center" indent="1"/>
    </xf>
    <xf numFmtId="0" fontId="9" fillId="0" borderId="0" xfId="77" applyFont="1" applyFill="1" applyBorder="1" applyAlignment="1">
      <alignment horizontal="left" vertical="center" wrapText="1" indent="1"/>
    </xf>
    <xf numFmtId="0" fontId="6" fillId="0" borderId="0" xfId="77" applyFont="1" applyFill="1" applyBorder="1" applyAlignment="1">
      <alignment horizontal="left" vertical="center"/>
    </xf>
    <xf numFmtId="0" fontId="9" fillId="0" borderId="12" xfId="0" applyFont="1" applyFill="1" applyBorder="1" applyAlignment="1">
      <alignment horizontal="right" vertical="center" wrapText="1" indent="1"/>
    </xf>
    <xf numFmtId="0" fontId="6" fillId="0" borderId="10" xfId="0" applyFont="1" applyFill="1" applyBorder="1" applyAlignment="1">
      <alignment horizontal="right" vertical="center" wrapText="1" indent="1"/>
    </xf>
    <xf numFmtId="0" fontId="9" fillId="0" borderId="10" xfId="0" applyFont="1" applyFill="1" applyBorder="1" applyAlignment="1">
      <alignment horizontal="left" vertical="center" indent="1"/>
    </xf>
    <xf numFmtId="3" fontId="9" fillId="0" borderId="10" xfId="0" applyNumberFormat="1" applyFont="1" applyFill="1" applyBorder="1" applyAlignment="1">
      <alignment horizontal="right" vertical="center" indent="1"/>
    </xf>
    <xf numFmtId="0" fontId="9" fillId="0" borderId="10" xfId="0" applyFont="1" applyFill="1" applyBorder="1" applyAlignment="1">
      <alignment horizontal="center" vertical="center"/>
    </xf>
    <xf numFmtId="4" fontId="9" fillId="0" borderId="10" xfId="0" applyNumberFormat="1" applyFont="1" applyFill="1" applyBorder="1" applyAlignment="1">
      <alignment horizontal="right" vertical="center" indent="1"/>
    </xf>
    <xf numFmtId="9" fontId="9" fillId="0" borderId="10" xfId="78" applyFont="1" applyFill="1" applyBorder="1" applyAlignment="1">
      <alignment horizontal="right" vertical="center" indent="1"/>
    </xf>
    <xf numFmtId="3" fontId="9" fillId="0" borderId="10" xfId="0" applyNumberFormat="1" applyFont="1" applyFill="1" applyBorder="1" applyAlignment="1">
      <alignment horizontal="left" vertical="center" wrapText="1"/>
    </xf>
    <xf numFmtId="0" fontId="6" fillId="0" borderId="15" xfId="0" applyFont="1" applyFill="1" applyBorder="1" applyAlignment="1">
      <alignment horizontal="right" vertical="center" wrapText="1" indent="1"/>
    </xf>
    <xf numFmtId="0" fontId="9" fillId="0" borderId="15" xfId="0" applyFont="1" applyFill="1" applyBorder="1" applyAlignment="1">
      <alignment horizontal="left" vertical="center" indent="1"/>
    </xf>
    <xf numFmtId="3" fontId="9" fillId="0" borderId="15" xfId="0" applyNumberFormat="1" applyFont="1" applyFill="1" applyBorder="1" applyAlignment="1">
      <alignment horizontal="right" vertical="center" indent="1"/>
    </xf>
    <xf numFmtId="0" fontId="9" fillId="0" borderId="15" xfId="0" applyFont="1" applyFill="1" applyBorder="1" applyAlignment="1">
      <alignment horizontal="center" vertical="center"/>
    </xf>
    <xf numFmtId="4" fontId="9" fillId="0" borderId="15" xfId="0" applyNumberFormat="1" applyFont="1" applyFill="1" applyBorder="1" applyAlignment="1">
      <alignment horizontal="right" vertical="center" indent="1"/>
    </xf>
    <xf numFmtId="9" fontId="9" fillId="0" borderId="15" xfId="78" applyFont="1" applyFill="1" applyBorder="1" applyAlignment="1">
      <alignment horizontal="right" vertical="center" indent="1"/>
    </xf>
    <xf numFmtId="3" fontId="9" fillId="0" borderId="15" xfId="0" applyNumberFormat="1" applyFont="1" applyFill="1" applyBorder="1" applyAlignment="1">
      <alignment horizontal="left" vertical="center" wrapText="1"/>
    </xf>
    <xf numFmtId="0" fontId="46" fillId="0" borderId="12" xfId="0" applyFont="1" applyFill="1" applyBorder="1" applyAlignment="1">
      <alignment horizontal="right" vertical="top" wrapText="1" indent="1"/>
    </xf>
    <xf numFmtId="165" fontId="83" fillId="0" borderId="12" xfId="84" applyNumberFormat="1" applyFont="1" applyFill="1" applyBorder="1" applyAlignment="1">
      <alignment horizontal="right" vertical="center" indent="1"/>
    </xf>
    <xf numFmtId="165" fontId="83" fillId="0" borderId="15" xfId="84" applyNumberFormat="1" applyFont="1" applyFill="1" applyBorder="1" applyAlignment="1">
      <alignment horizontal="right" vertical="center" indent="1"/>
    </xf>
    <xf numFmtId="3" fontId="83" fillId="0" borderId="11" xfId="0" applyNumberFormat="1" applyFont="1" applyFill="1" applyBorder="1" applyAlignment="1">
      <alignment horizontal="left" vertical="center" wrapText="1" indent="1"/>
    </xf>
    <xf numFmtId="0" fontId="9" fillId="0" borderId="0" xfId="0" applyFont="1" applyBorder="1" applyAlignment="1">
      <alignment horizontal="left" vertical="center" wrapText="1" indent="1"/>
    </xf>
    <xf numFmtId="0" fontId="9" fillId="0" borderId="0" xfId="0" applyFont="1" applyBorder="1" applyAlignment="1">
      <alignment horizontal="left" vertical="center" wrapText="1" indent="1"/>
    </xf>
    <xf numFmtId="0" fontId="69" fillId="0" borderId="25" xfId="77" applyFont="1" applyFill="1" applyBorder="1" applyAlignment="1">
      <alignment vertical="center"/>
    </xf>
    <xf numFmtId="0" fontId="69" fillId="0" borderId="74" xfId="77" applyFont="1" applyFill="1" applyBorder="1" applyAlignment="1">
      <alignment horizontal="left" vertical="center" indent="1"/>
    </xf>
    <xf numFmtId="0" fontId="9" fillId="0" borderId="0" xfId="0" applyFont="1" applyBorder="1" applyAlignment="1">
      <alignment horizontal="left" vertical="center" wrapText="1" indent="1"/>
    </xf>
    <xf numFmtId="9" fontId="69" fillId="0" borderId="0" xfId="78" applyFont="1"/>
    <xf numFmtId="0" fontId="84" fillId="0" borderId="0" xfId="0" applyFont="1"/>
    <xf numFmtId="0" fontId="9" fillId="33" borderId="0" xfId="0" applyFont="1" applyFill="1"/>
    <xf numFmtId="0" fontId="6" fillId="33" borderId="12" xfId="0" applyFont="1" applyFill="1" applyBorder="1" applyAlignment="1">
      <alignment horizontal="right" vertical="top" wrapText="1" indent="1"/>
    </xf>
    <xf numFmtId="0" fontId="9" fillId="33" borderId="12" xfId="0" applyFont="1" applyFill="1" applyBorder="1" applyAlignment="1">
      <alignment horizontal="left" vertical="center" wrapText="1" indent="1"/>
    </xf>
    <xf numFmtId="3" fontId="9" fillId="33" borderId="12" xfId="0" applyNumberFormat="1" applyFont="1" applyFill="1" applyBorder="1" applyAlignment="1">
      <alignment horizontal="right" vertical="center" wrapText="1" indent="1"/>
    </xf>
    <xf numFmtId="0" fontId="9" fillId="33" borderId="11" xfId="0" applyFont="1" applyFill="1" applyBorder="1" applyAlignment="1">
      <alignment horizontal="center" vertical="center"/>
    </xf>
    <xf numFmtId="3" fontId="9" fillId="33" borderId="11" xfId="0" applyNumberFormat="1" applyFont="1" applyFill="1" applyBorder="1" applyAlignment="1">
      <alignment horizontal="right" vertical="center" indent="1"/>
    </xf>
    <xf numFmtId="4" fontId="9" fillId="33" borderId="12" xfId="0" applyNumberFormat="1" applyFont="1" applyFill="1" applyBorder="1" applyAlignment="1">
      <alignment horizontal="right" vertical="center" indent="1"/>
    </xf>
    <xf numFmtId="9" fontId="9" fillId="33" borderId="12" xfId="78" applyFont="1" applyFill="1" applyBorder="1" applyAlignment="1">
      <alignment horizontal="right" vertical="center" indent="1"/>
    </xf>
    <xf numFmtId="3" fontId="9" fillId="33" borderId="11" xfId="0" applyNumberFormat="1" applyFont="1" applyFill="1" applyBorder="1" applyAlignment="1">
      <alignment horizontal="left" vertical="center" wrapText="1" indent="1"/>
    </xf>
    <xf numFmtId="0" fontId="85" fillId="0" borderId="0" xfId="0" applyFont="1"/>
    <xf numFmtId="0" fontId="9" fillId="0" borderId="0" xfId="39" applyFont="1" applyAlignment="1">
      <alignment vertical="center"/>
    </xf>
    <xf numFmtId="0" fontId="81" fillId="0" borderId="0" xfId="39" applyFont="1" applyFill="1" applyBorder="1" applyAlignment="1">
      <alignment horizontal="center" vertical="center" wrapText="1"/>
    </xf>
    <xf numFmtId="3" fontId="76" fillId="0" borderId="0" xfId="99" applyNumberFormat="1" applyFont="1" applyFill="1" applyBorder="1" applyAlignment="1">
      <alignment horizontal="center" vertical="center" wrapText="1"/>
    </xf>
    <xf numFmtId="41" fontId="76" fillId="0" borderId="0" xfId="39" applyNumberFormat="1" applyFont="1" applyBorder="1" applyAlignment="1">
      <alignment horizontal="center" vertical="center" wrapText="1"/>
    </xf>
    <xf numFmtId="175" fontId="75" fillId="0" borderId="0" xfId="99" applyNumberFormat="1" applyFont="1" applyFill="1" applyBorder="1" applyAlignment="1">
      <alignment horizontal="right" vertical="center" wrapText="1" indent="1"/>
    </xf>
    <xf numFmtId="0" fontId="76" fillId="0" borderId="0" xfId="39" applyFont="1" applyFill="1" applyBorder="1" applyAlignment="1">
      <alignment horizontal="center" vertical="center" wrapText="1"/>
    </xf>
    <xf numFmtId="9" fontId="81" fillId="0" borderId="0" xfId="81" applyFont="1" applyBorder="1" applyAlignment="1">
      <alignment horizontal="center" vertical="center" wrapText="1"/>
    </xf>
    <xf numFmtId="0" fontId="1" fillId="0" borderId="0" xfId="56"/>
    <xf numFmtId="0" fontId="82" fillId="0" borderId="0" xfId="39" applyFont="1" applyAlignment="1">
      <alignment vertical="center"/>
    </xf>
    <xf numFmtId="0" fontId="62" fillId="0" borderId="0" xfId="39" applyFont="1" applyAlignment="1">
      <alignment vertical="center"/>
    </xf>
    <xf numFmtId="0" fontId="6" fillId="0" borderId="42" xfId="83" applyFont="1" applyBorder="1" applyAlignment="1">
      <alignment horizontal="left" vertical="center" wrapText="1" indent="1"/>
    </xf>
    <xf numFmtId="0" fontId="9" fillId="33" borderId="0" xfId="39" applyFont="1" applyFill="1" applyAlignment="1">
      <alignment vertical="center"/>
    </xf>
    <xf numFmtId="0" fontId="6" fillId="0" borderId="12" xfId="83" applyFont="1" applyBorder="1" applyAlignment="1">
      <alignment horizontal="left" vertical="center" wrapText="1" indent="1"/>
    </xf>
    <xf numFmtId="0" fontId="86" fillId="0" borderId="0" xfId="39" applyFont="1" applyAlignment="1">
      <alignment vertical="center"/>
    </xf>
    <xf numFmtId="0" fontId="6" fillId="0" borderId="47" xfId="83" applyFont="1" applyBorder="1" applyAlignment="1">
      <alignment horizontal="left" vertical="center" wrapText="1" indent="1"/>
    </xf>
    <xf numFmtId="0" fontId="6" fillId="0" borderId="0" xfId="39" applyFont="1" applyAlignment="1">
      <alignment horizontal="left" vertical="center"/>
    </xf>
    <xf numFmtId="0" fontId="6" fillId="28" borderId="17" xfId="39" applyFont="1" applyFill="1" applyBorder="1" applyAlignment="1">
      <alignment horizontal="center" vertical="center" wrapText="1"/>
    </xf>
    <xf numFmtId="0" fontId="69" fillId="0" borderId="0" xfId="0" applyFont="1" applyAlignment="1">
      <alignment vertical="center"/>
    </xf>
    <xf numFmtId="0" fontId="9" fillId="0" borderId="11" xfId="83" applyFont="1" applyBorder="1" applyAlignment="1">
      <alignment horizontal="left" vertical="center" wrapText="1" indent="1"/>
    </xf>
    <xf numFmtId="0" fontId="9" fillId="0" borderId="12" xfId="83" applyFont="1" applyBorder="1" applyAlignment="1">
      <alignment horizontal="left" vertical="center" wrapText="1" indent="1"/>
    </xf>
    <xf numFmtId="0" fontId="18" fillId="0" borderId="0" xfId="39" applyFont="1" applyAlignment="1">
      <alignment vertical="center"/>
    </xf>
    <xf numFmtId="0" fontId="58" fillId="0" borderId="0" xfId="39" applyFont="1" applyAlignment="1">
      <alignment vertical="center"/>
    </xf>
    <xf numFmtId="0" fontId="51" fillId="0" borderId="0" xfId="39" applyFont="1" applyAlignment="1">
      <alignment vertical="center"/>
    </xf>
    <xf numFmtId="0" fontId="6" fillId="28" borderId="75" xfId="39" applyFont="1" applyFill="1" applyBorder="1" applyAlignment="1">
      <alignment horizontal="center" vertical="center" wrapText="1"/>
    </xf>
    <xf numFmtId="0" fontId="9" fillId="0" borderId="61" xfId="77" applyFont="1" applyFill="1" applyBorder="1" applyAlignment="1">
      <alignment horizontal="center" vertical="center" wrapText="1"/>
    </xf>
    <xf numFmtId="9" fontId="6" fillId="0" borderId="61" xfId="77" applyNumberFormat="1" applyFont="1" applyFill="1" applyBorder="1" applyAlignment="1">
      <alignment horizontal="left" vertical="center" wrapText="1" indent="1"/>
    </xf>
    <xf numFmtId="9" fontId="9" fillId="0" borderId="61" xfId="77" applyNumberFormat="1" applyFont="1" applyFill="1" applyBorder="1" applyAlignment="1">
      <alignment horizontal="center" vertical="center" wrapText="1"/>
    </xf>
    <xf numFmtId="9" fontId="9" fillId="0" borderId="10" xfId="78" applyFont="1" applyBorder="1" applyAlignment="1">
      <alignment horizontal="left" vertical="center" wrapText="1" indent="1"/>
    </xf>
    <xf numFmtId="9" fontId="9" fillId="0" borderId="11" xfId="78" applyFont="1" applyBorder="1" applyAlignment="1">
      <alignment horizontal="left" vertical="center" wrapText="1" indent="1"/>
    </xf>
    <xf numFmtId="9" fontId="9" fillId="0" borderId="20" xfId="78" applyFont="1" applyBorder="1" applyAlignment="1">
      <alignment horizontal="left" vertical="center" wrapText="1" indent="1"/>
    </xf>
    <xf numFmtId="9" fontId="9" fillId="0" borderId="10" xfId="0" applyNumberFormat="1" applyFont="1" applyBorder="1" applyAlignment="1">
      <alignment horizontal="center" vertical="center"/>
    </xf>
    <xf numFmtId="9" fontId="9" fillId="0" borderId="11" xfId="0" applyNumberFormat="1" applyFont="1" applyBorder="1" applyAlignment="1">
      <alignment horizontal="center" vertical="center"/>
    </xf>
    <xf numFmtId="9" fontId="9" fillId="0" borderId="20" xfId="0" applyNumberFormat="1" applyFont="1" applyBorder="1" applyAlignment="1">
      <alignment horizontal="center" vertical="center"/>
    </xf>
    <xf numFmtId="9" fontId="9" fillId="0" borderId="11" xfId="0" applyNumberFormat="1" applyFont="1" applyBorder="1" applyAlignment="1">
      <alignment horizontal="center" vertical="center" wrapText="1"/>
    </xf>
    <xf numFmtId="9" fontId="9" fillId="0" borderId="38" xfId="78" applyFont="1" applyBorder="1" applyAlignment="1">
      <alignment horizontal="left" vertical="center" wrapText="1" indent="1"/>
    </xf>
    <xf numFmtId="9" fontId="9" fillId="0" borderId="38" xfId="0" applyNumberFormat="1" applyFont="1" applyBorder="1" applyAlignment="1">
      <alignment horizontal="center" vertical="center" wrapText="1"/>
    </xf>
    <xf numFmtId="9" fontId="9" fillId="0" borderId="10" xfId="0" applyNumberFormat="1" applyFont="1" applyBorder="1" applyAlignment="1">
      <alignment horizontal="center" vertical="center" wrapText="1"/>
    </xf>
    <xf numFmtId="9" fontId="9" fillId="0" borderId="20" xfId="0" applyNumberFormat="1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 indent="1"/>
    </xf>
    <xf numFmtId="0" fontId="69" fillId="0" borderId="11" xfId="0" applyFont="1" applyBorder="1" applyAlignment="1">
      <alignment horizontal="left" vertical="center"/>
    </xf>
    <xf numFmtId="0" fontId="45" fillId="0" borderId="0" xfId="0" applyFont="1"/>
    <xf numFmtId="3" fontId="4" fillId="0" borderId="11" xfId="0" applyNumberFormat="1" applyFont="1" applyFill="1" applyBorder="1" applyAlignment="1">
      <alignment horizontal="center" vertical="center"/>
    </xf>
    <xf numFmtId="3" fontId="4" fillId="30" borderId="11" xfId="0" applyNumberFormat="1" applyFont="1" applyFill="1" applyBorder="1" applyAlignment="1">
      <alignment horizontal="left" vertical="center" indent="1"/>
    </xf>
    <xf numFmtId="0" fontId="4" fillId="30" borderId="11" xfId="0" applyFont="1" applyFill="1" applyBorder="1" applyAlignment="1">
      <alignment horizontal="left" vertical="center" indent="1"/>
    </xf>
    <xf numFmtId="3" fontId="4" fillId="0" borderId="11" xfId="0" applyNumberFormat="1" applyFont="1" applyFill="1" applyBorder="1" applyAlignment="1">
      <alignment horizontal="right" vertical="center" indent="1"/>
    </xf>
    <xf numFmtId="168" fontId="4" fillId="0" borderId="11" xfId="78" applyNumberFormat="1" applyFont="1" applyFill="1" applyBorder="1" applyAlignment="1">
      <alignment horizontal="right" vertical="center" indent="1"/>
    </xf>
    <xf numFmtId="168" fontId="4" fillId="30" borderId="11" xfId="78" applyNumberFormat="1" applyFont="1" applyFill="1" applyBorder="1" applyAlignment="1">
      <alignment vertical="center"/>
    </xf>
    <xf numFmtId="9" fontId="4" fillId="0" borderId="11" xfId="78" applyFont="1" applyFill="1" applyBorder="1" applyAlignment="1">
      <alignment horizontal="right" vertical="center" indent="1"/>
    </xf>
    <xf numFmtId="3" fontId="4" fillId="0" borderId="11" xfId="78" applyNumberFormat="1" applyFont="1" applyFill="1" applyBorder="1" applyAlignment="1">
      <alignment horizontal="right" vertical="center" indent="1"/>
    </xf>
    <xf numFmtId="0" fontId="80" fillId="34" borderId="12" xfId="0" applyFont="1" applyFill="1" applyBorder="1" applyAlignment="1" applyProtection="1">
      <alignment horizontal="right" vertical="center" indent="1"/>
      <protection hidden="1"/>
    </xf>
    <xf numFmtId="4" fontId="73" fillId="30" borderId="10" xfId="0" applyNumberFormat="1" applyFont="1" applyFill="1" applyBorder="1" applyAlignment="1" applyProtection="1">
      <alignment horizontal="right" vertical="center" indent="1"/>
      <protection locked="0" hidden="1"/>
    </xf>
    <xf numFmtId="0" fontId="80" fillId="34" borderId="61" xfId="0" applyFont="1" applyFill="1" applyBorder="1" applyAlignment="1" applyProtection="1">
      <alignment horizontal="right" vertical="center" indent="1"/>
      <protection hidden="1"/>
    </xf>
    <xf numFmtId="0" fontId="4" fillId="0" borderId="0" xfId="0" applyFont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 indent="1"/>
      <protection hidden="1"/>
    </xf>
    <xf numFmtId="0" fontId="17" fillId="0" borderId="0" xfId="0" applyFont="1" applyBorder="1" applyAlignment="1" applyProtection="1">
      <alignment horizontal="left" vertical="center" wrapText="1" indent="1"/>
      <protection hidden="1"/>
    </xf>
    <xf numFmtId="0" fontId="16" fillId="0" borderId="0" xfId="0" applyFont="1" applyBorder="1" applyAlignment="1" applyProtection="1">
      <alignment horizontal="left" vertical="center" wrapText="1" indent="1"/>
      <protection hidden="1"/>
    </xf>
    <xf numFmtId="4" fontId="6" fillId="29" borderId="17" xfId="0" applyNumberFormat="1" applyFont="1" applyFill="1" applyBorder="1" applyAlignment="1" applyProtection="1">
      <alignment horizontal="center" vertical="center"/>
      <protection locked="0" hidden="1"/>
    </xf>
    <xf numFmtId="4" fontId="6" fillId="29" borderId="16" xfId="0" applyNumberFormat="1" applyFont="1" applyFill="1" applyBorder="1" applyAlignment="1" applyProtection="1">
      <alignment horizontal="center" vertical="center"/>
      <protection locked="0" hidden="1"/>
    </xf>
    <xf numFmtId="4" fontId="6" fillId="29" borderId="18" xfId="0" applyNumberFormat="1" applyFont="1" applyFill="1" applyBorder="1" applyAlignment="1" applyProtection="1">
      <alignment horizontal="center" vertical="center"/>
      <protection locked="0" hidden="1"/>
    </xf>
    <xf numFmtId="0" fontId="7" fillId="29" borderId="64" xfId="0" applyFont="1" applyFill="1" applyBorder="1" applyAlignment="1" applyProtection="1">
      <alignment horizontal="center" vertical="center"/>
      <protection locked="0" hidden="1"/>
    </xf>
    <xf numFmtId="0" fontId="7" fillId="29" borderId="16" xfId="0" applyFont="1" applyFill="1" applyBorder="1" applyAlignment="1" applyProtection="1">
      <alignment horizontal="center" vertical="center"/>
      <protection locked="0" hidden="1"/>
    </xf>
    <xf numFmtId="0" fontId="7" fillId="29" borderId="65" xfId="0" applyFont="1" applyFill="1" applyBorder="1" applyAlignment="1" applyProtection="1">
      <alignment horizontal="center" vertical="center"/>
      <protection locked="0" hidden="1"/>
    </xf>
    <xf numFmtId="174" fontId="7" fillId="29" borderId="16" xfId="0" applyNumberFormat="1" applyFont="1" applyFill="1" applyBorder="1" applyAlignment="1" applyProtection="1">
      <alignment horizontal="center" vertical="center"/>
      <protection locked="0" hidden="1"/>
    </xf>
    <xf numFmtId="174" fontId="7" fillId="29" borderId="18" xfId="0" applyNumberFormat="1" applyFont="1" applyFill="1" applyBorder="1" applyAlignment="1" applyProtection="1">
      <alignment horizontal="center" vertical="center"/>
      <protection locked="0" hidden="1"/>
    </xf>
    <xf numFmtId="174" fontId="46" fillId="29" borderId="61" xfId="0" applyNumberFormat="1" applyFont="1" applyFill="1" applyBorder="1" applyAlignment="1" applyProtection="1">
      <alignment horizontal="center" vertical="center" wrapText="1"/>
      <protection locked="0" hidden="1"/>
    </xf>
    <xf numFmtId="174" fontId="46" fillId="29" borderId="38" xfId="0" applyNumberFormat="1" applyFont="1" applyFill="1" applyBorder="1" applyAlignment="1" applyProtection="1">
      <alignment horizontal="center" vertical="center"/>
      <protection locked="0" hidden="1"/>
    </xf>
    <xf numFmtId="174" fontId="46" fillId="29" borderId="20" xfId="0" applyNumberFormat="1" applyFont="1" applyFill="1" applyBorder="1" applyAlignment="1" applyProtection="1">
      <alignment horizontal="center" vertical="center"/>
      <protection locked="0" hidden="1"/>
    </xf>
    <xf numFmtId="168" fontId="6" fillId="0" borderId="34" xfId="0" applyNumberFormat="1" applyFont="1" applyFill="1" applyBorder="1" applyAlignment="1" applyProtection="1">
      <alignment horizontal="center" vertical="center"/>
      <protection locked="0" hidden="1"/>
    </xf>
    <xf numFmtId="168" fontId="6" fillId="0" borderId="31" xfId="0" applyNumberFormat="1" applyFont="1" applyFill="1" applyBorder="1" applyAlignment="1" applyProtection="1">
      <alignment horizontal="center" vertical="center"/>
      <protection locked="0" hidden="1"/>
    </xf>
    <xf numFmtId="9" fontId="6" fillId="0" borderId="19" xfId="0" applyNumberFormat="1" applyFont="1" applyFill="1" applyBorder="1" applyAlignment="1" applyProtection="1">
      <alignment horizontal="center" vertical="center"/>
      <protection locked="0" hidden="1"/>
    </xf>
    <xf numFmtId="9" fontId="6" fillId="0" borderId="32" xfId="0" applyNumberFormat="1" applyFont="1" applyFill="1" applyBorder="1" applyAlignment="1" applyProtection="1">
      <alignment horizontal="center" vertical="center"/>
      <protection locked="0" hidden="1"/>
    </xf>
    <xf numFmtId="0" fontId="6" fillId="29" borderId="14" xfId="0" applyFont="1" applyFill="1" applyBorder="1" applyAlignment="1" applyProtection="1">
      <alignment horizontal="center" vertical="center"/>
      <protection locked="0" hidden="1"/>
    </xf>
    <xf numFmtId="0" fontId="6" fillId="0" borderId="10" xfId="0" applyFont="1" applyFill="1" applyBorder="1" applyAlignment="1" applyProtection="1">
      <alignment horizontal="left" vertical="center" indent="2"/>
      <protection locked="0" hidden="1"/>
    </xf>
    <xf numFmtId="0" fontId="6" fillId="0" borderId="12" xfId="0" applyFont="1" applyFill="1" applyBorder="1" applyAlignment="1" applyProtection="1">
      <alignment horizontal="left" vertical="center" indent="2"/>
      <protection locked="0" hidden="1"/>
    </xf>
    <xf numFmtId="0" fontId="6" fillId="0" borderId="15" xfId="0" applyFont="1" applyFill="1" applyBorder="1" applyAlignment="1" applyProtection="1">
      <alignment horizontal="left" vertical="center" indent="2"/>
      <protection locked="0" hidden="1"/>
    </xf>
    <xf numFmtId="0" fontId="6" fillId="0" borderId="19" xfId="0" applyFont="1" applyFill="1" applyBorder="1" applyAlignment="1" applyProtection="1">
      <alignment horizontal="left" vertical="center" indent="2"/>
      <protection hidden="1"/>
    </xf>
    <xf numFmtId="0" fontId="6" fillId="0" borderId="32" xfId="0" applyFont="1" applyFill="1" applyBorder="1" applyAlignment="1" applyProtection="1">
      <alignment horizontal="left" vertical="center" indent="2"/>
      <protection hidden="1"/>
    </xf>
    <xf numFmtId="0" fontId="6" fillId="0" borderId="21" xfId="0" applyFont="1" applyFill="1" applyBorder="1" applyAlignment="1" applyProtection="1">
      <alignment horizontal="left" vertical="center" indent="2"/>
      <protection hidden="1"/>
    </xf>
    <xf numFmtId="0" fontId="6" fillId="0" borderId="33" xfId="0" applyFont="1" applyFill="1" applyBorder="1" applyAlignment="1" applyProtection="1">
      <alignment horizontal="left" vertical="center" indent="2"/>
      <protection hidden="1"/>
    </xf>
    <xf numFmtId="4" fontId="44" fillId="29" borderId="17" xfId="0" applyNumberFormat="1" applyFont="1" applyFill="1" applyBorder="1" applyAlignment="1" applyProtection="1">
      <alignment horizontal="center" vertical="center"/>
      <protection hidden="1"/>
    </xf>
    <xf numFmtId="4" fontId="44" fillId="29" borderId="16" xfId="0" applyNumberFormat="1" applyFont="1" applyFill="1" applyBorder="1" applyAlignment="1" applyProtection="1">
      <alignment horizontal="center" vertical="center"/>
      <protection hidden="1"/>
    </xf>
    <xf numFmtId="4" fontId="44" fillId="29" borderId="18" xfId="0" applyNumberFormat="1" applyFont="1" applyFill="1" applyBorder="1" applyAlignment="1" applyProtection="1">
      <alignment horizontal="center" vertical="center"/>
      <protection hidden="1"/>
    </xf>
    <xf numFmtId="0" fontId="44" fillId="29" borderId="17" xfId="0" applyFont="1" applyFill="1" applyBorder="1" applyAlignment="1" applyProtection="1">
      <alignment horizontal="center" vertical="center"/>
      <protection hidden="1"/>
    </xf>
    <xf numFmtId="0" fontId="44" fillId="29" borderId="18" xfId="0" applyFont="1" applyFill="1" applyBorder="1" applyAlignment="1" applyProtection="1">
      <alignment horizontal="center" vertical="center"/>
      <protection hidden="1"/>
    </xf>
    <xf numFmtId="0" fontId="6" fillId="0" borderId="34" xfId="0" applyFont="1" applyFill="1" applyBorder="1" applyAlignment="1" applyProtection="1">
      <alignment horizontal="left" vertical="center" indent="2"/>
      <protection hidden="1"/>
    </xf>
    <xf numFmtId="0" fontId="6" fillId="0" borderId="31" xfId="0" applyFont="1" applyFill="1" applyBorder="1" applyAlignment="1" applyProtection="1">
      <alignment horizontal="left" vertical="center" indent="2"/>
      <protection hidden="1"/>
    </xf>
    <xf numFmtId="0" fontId="6" fillId="28" borderId="17" xfId="77" applyFont="1" applyFill="1" applyBorder="1" applyAlignment="1">
      <alignment horizontal="center" vertical="center" wrapText="1"/>
    </xf>
    <xf numFmtId="0" fontId="6" fillId="28" borderId="16" xfId="77" applyFont="1" applyFill="1" applyBorder="1" applyAlignment="1">
      <alignment horizontal="center" vertical="center" wrapText="1"/>
    </xf>
    <xf numFmtId="0" fontId="6" fillId="28" borderId="18" xfId="77" applyFont="1" applyFill="1" applyBorder="1" applyAlignment="1">
      <alignment horizontal="center" vertical="center" wrapText="1"/>
    </xf>
    <xf numFmtId="0" fontId="9" fillId="0" borderId="44" xfId="0" applyFont="1" applyBorder="1" applyAlignment="1">
      <alignment horizontal="left" vertical="center" wrapText="1" indent="1"/>
    </xf>
    <xf numFmtId="0" fontId="9" fillId="0" borderId="0" xfId="0" applyFont="1" applyBorder="1" applyAlignment="1">
      <alignment horizontal="left" vertical="center" wrapText="1" indent="1"/>
    </xf>
    <xf numFmtId="0" fontId="69" fillId="0" borderId="19" xfId="77" applyFont="1" applyFill="1" applyBorder="1" applyAlignment="1">
      <alignment horizontal="left" vertical="center" indent="1"/>
    </xf>
    <xf numFmtId="0" fontId="69" fillId="0" borderId="54" xfId="77" applyFont="1" applyFill="1" applyBorder="1" applyAlignment="1">
      <alignment horizontal="left" vertical="center" indent="1"/>
    </xf>
    <xf numFmtId="0" fontId="69" fillId="0" borderId="21" xfId="77" applyFont="1" applyFill="1" applyBorder="1" applyAlignment="1">
      <alignment horizontal="left" vertical="center" indent="1"/>
    </xf>
    <xf numFmtId="0" fontId="69" fillId="0" borderId="55" xfId="77" applyFont="1" applyFill="1" applyBorder="1" applyAlignment="1">
      <alignment horizontal="left" vertical="center" indent="1"/>
    </xf>
    <xf numFmtId="0" fontId="6" fillId="28" borderId="17" xfId="39" applyFont="1" applyFill="1" applyBorder="1" applyAlignment="1">
      <alignment horizontal="center" vertical="center" wrapText="1"/>
    </xf>
    <xf numFmtId="0" fontId="6" fillId="28" borderId="16" xfId="39" applyFont="1" applyFill="1" applyBorder="1" applyAlignment="1">
      <alignment horizontal="center" vertical="center" wrapText="1"/>
    </xf>
    <xf numFmtId="0" fontId="6" fillId="28" borderId="18" xfId="39" applyFont="1" applyFill="1" applyBorder="1" applyAlignment="1">
      <alignment horizontal="center" vertical="center" wrapText="1"/>
    </xf>
    <xf numFmtId="0" fontId="9" fillId="0" borderId="59" xfId="83" applyFont="1" applyBorder="1" applyAlignment="1">
      <alignment horizontal="left" vertical="center" wrapText="1" indent="1"/>
    </xf>
    <xf numFmtId="0" fontId="9" fillId="0" borderId="60" xfId="83" applyFont="1" applyBorder="1" applyAlignment="1">
      <alignment horizontal="left" vertical="center" wrapText="1" indent="1"/>
    </xf>
    <xf numFmtId="0" fontId="9" fillId="0" borderId="45" xfId="83" applyFont="1" applyBorder="1" applyAlignment="1">
      <alignment horizontal="left" vertical="center" wrapText="1" indent="1"/>
    </xf>
    <xf numFmtId="0" fontId="9" fillId="0" borderId="19" xfId="83" applyFont="1" applyBorder="1" applyAlignment="1">
      <alignment horizontal="left" vertical="center" wrapText="1" indent="1"/>
    </xf>
    <xf numFmtId="0" fontId="9" fillId="0" borderId="54" xfId="83" applyFont="1" applyBorder="1" applyAlignment="1">
      <alignment horizontal="left" vertical="center" wrapText="1" indent="1"/>
    </xf>
    <xf numFmtId="0" fontId="9" fillId="0" borderId="32" xfId="83" applyFont="1" applyBorder="1" applyAlignment="1">
      <alignment horizontal="left" vertical="center" wrapText="1" indent="1"/>
    </xf>
    <xf numFmtId="0" fontId="6" fillId="0" borderId="79" xfId="83" applyFont="1" applyBorder="1" applyAlignment="1">
      <alignment horizontal="left" vertical="center" wrapText="1" indent="1"/>
    </xf>
    <xf numFmtId="0" fontId="6" fillId="0" borderId="80" xfId="83" applyFont="1" applyBorder="1" applyAlignment="1">
      <alignment horizontal="left" vertical="center" wrapText="1" indent="1"/>
    </xf>
    <xf numFmtId="0" fontId="6" fillId="0" borderId="81" xfId="83" applyFont="1" applyBorder="1" applyAlignment="1">
      <alignment horizontal="left" vertical="center" wrapText="1" indent="1"/>
    </xf>
    <xf numFmtId="0" fontId="9" fillId="0" borderId="79" xfId="83" applyFont="1" applyBorder="1" applyAlignment="1">
      <alignment horizontal="left" vertical="center" wrapText="1" indent="1"/>
    </xf>
    <xf numFmtId="0" fontId="9" fillId="0" borderId="80" xfId="83" applyFont="1" applyBorder="1" applyAlignment="1">
      <alignment horizontal="left" vertical="center" wrapText="1" indent="1"/>
    </xf>
    <xf numFmtId="0" fontId="9" fillId="0" borderId="81" xfId="83" applyFont="1" applyBorder="1" applyAlignment="1">
      <alignment horizontal="left" vertical="center" wrapText="1" indent="1"/>
    </xf>
    <xf numFmtId="0" fontId="9" fillId="0" borderId="0" xfId="39" applyFont="1" applyAlignment="1">
      <alignment horizontal="left" vertical="center" wrapText="1"/>
    </xf>
    <xf numFmtId="0" fontId="6" fillId="28" borderId="75" xfId="39" applyFont="1" applyFill="1" applyBorder="1" applyAlignment="1">
      <alignment horizontal="center" vertical="center" wrapText="1"/>
    </xf>
    <xf numFmtId="0" fontId="6" fillId="28" borderId="76" xfId="39" applyFont="1" applyFill="1" applyBorder="1" applyAlignment="1">
      <alignment horizontal="center" vertical="center" wrapText="1"/>
    </xf>
    <xf numFmtId="0" fontId="6" fillId="28" borderId="77" xfId="39" applyFont="1" applyFill="1" applyBorder="1" applyAlignment="1">
      <alignment horizontal="center" vertical="center" wrapText="1"/>
    </xf>
    <xf numFmtId="0" fontId="9" fillId="0" borderId="49" xfId="83" applyFont="1" applyBorder="1" applyAlignment="1">
      <alignment horizontal="left" vertical="center" wrapText="1" indent="1"/>
    </xf>
    <xf numFmtId="0" fontId="9" fillId="0" borderId="78" xfId="83" applyFont="1" applyBorder="1" applyAlignment="1">
      <alignment horizontal="left" vertical="center" wrapText="1" indent="1"/>
    </xf>
    <xf numFmtId="0" fontId="9" fillId="0" borderId="48" xfId="83" applyFont="1" applyBorder="1" applyAlignment="1">
      <alignment horizontal="left" vertical="center" wrapText="1" indent="1"/>
    </xf>
    <xf numFmtId="0" fontId="9" fillId="0" borderId="34" xfId="77" applyFont="1" applyFill="1" applyBorder="1" applyAlignment="1">
      <alignment horizontal="left" vertical="center" wrapText="1" indent="1"/>
    </xf>
    <xf numFmtId="0" fontId="9" fillId="0" borderId="57" xfId="77" applyFont="1" applyFill="1" applyBorder="1" applyAlignment="1">
      <alignment horizontal="left" vertical="center" wrapText="1" indent="1"/>
    </xf>
    <xf numFmtId="0" fontId="9" fillId="0" borderId="31" xfId="77" applyFont="1" applyFill="1" applyBorder="1" applyAlignment="1">
      <alignment horizontal="left" vertical="center" wrapText="1" indent="1"/>
    </xf>
    <xf numFmtId="0" fontId="6" fillId="0" borderId="0" xfId="77" applyFont="1" applyFill="1" applyBorder="1" applyAlignment="1">
      <alignment horizontal="left" vertical="center" wrapText="1"/>
    </xf>
    <xf numFmtId="0" fontId="69" fillId="0" borderId="17" xfId="77" applyFont="1" applyFill="1" applyBorder="1" applyAlignment="1">
      <alignment horizontal="center" vertical="center" wrapText="1"/>
    </xf>
    <xf numFmtId="0" fontId="69" fillId="0" borderId="16" xfId="77" applyFont="1" applyFill="1" applyBorder="1" applyAlignment="1">
      <alignment horizontal="center" vertical="center" wrapText="1"/>
    </xf>
    <xf numFmtId="0" fontId="69" fillId="0" borderId="18" xfId="77" applyFont="1" applyFill="1" applyBorder="1" applyAlignment="1">
      <alignment horizontal="center" vertical="center" wrapText="1"/>
    </xf>
    <xf numFmtId="0" fontId="6" fillId="0" borderId="61" xfId="77" applyFont="1" applyFill="1" applyBorder="1" applyAlignment="1">
      <alignment horizontal="center" vertical="center" wrapText="1"/>
    </xf>
    <xf numFmtId="0" fontId="6" fillId="0" borderId="38" xfId="77" applyFont="1" applyFill="1" applyBorder="1" applyAlignment="1">
      <alignment horizontal="center" vertical="center" wrapText="1"/>
    </xf>
    <xf numFmtId="0" fontId="6" fillId="0" borderId="20" xfId="77" applyFont="1" applyFill="1" applyBorder="1" applyAlignment="1">
      <alignment horizontal="center" vertical="center" wrapText="1"/>
    </xf>
    <xf numFmtId="0" fontId="6" fillId="0" borderId="21" xfId="77" applyFont="1" applyFill="1" applyBorder="1" applyAlignment="1">
      <alignment horizontal="center" vertical="center" wrapText="1"/>
    </xf>
    <xf numFmtId="0" fontId="6" fillId="0" borderId="55" xfId="77" applyFont="1" applyFill="1" applyBorder="1" applyAlignment="1">
      <alignment horizontal="center" vertical="center" wrapText="1"/>
    </xf>
    <xf numFmtId="0" fontId="6" fillId="0" borderId="33" xfId="77" applyFont="1" applyFill="1" applyBorder="1" applyAlignment="1">
      <alignment horizontal="center" vertical="center" wrapText="1"/>
    </xf>
  </cellXfs>
  <cellStyles count="100">
    <cellStyle name="_Kommersant_ продажи2009_FINAL" xfId="1"/>
    <cellStyle name="20% - Accent1" xfId="2"/>
    <cellStyle name="20% - Accent2" xfId="3"/>
    <cellStyle name="20% - Accent3" xfId="4"/>
    <cellStyle name="20% - Accent4" xfId="5"/>
    <cellStyle name="20% - Accent5" xfId="6"/>
    <cellStyle name="20% - Accent6" xfId="7"/>
    <cellStyle name="40% - Accent1" xfId="8"/>
    <cellStyle name="40% - Accent2" xfId="9"/>
    <cellStyle name="40% - Accent3" xfId="10"/>
    <cellStyle name="40% - Accent4" xfId="11"/>
    <cellStyle name="40% - Accent5" xfId="12"/>
    <cellStyle name="40% - Accent6" xfId="13"/>
    <cellStyle name="60% - Accent1" xfId="14"/>
    <cellStyle name="60% - Accent2" xfId="15"/>
    <cellStyle name="60% - Accent3" xfId="16"/>
    <cellStyle name="60% - Accent4" xfId="17"/>
    <cellStyle name="60% - Accent5" xfId="18"/>
    <cellStyle name="60% - Accent6" xfId="19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Explanatory Text" xfId="29"/>
    <cellStyle name="Good" xfId="30"/>
    <cellStyle name="Heading 1" xfId="31"/>
    <cellStyle name="Heading 2" xfId="32"/>
    <cellStyle name="Heading 3" xfId="33"/>
    <cellStyle name="Heading 4" xfId="34"/>
    <cellStyle name="Input" xfId="35"/>
    <cellStyle name="Linked Cell" xfId="36"/>
    <cellStyle name="Neutral" xfId="37"/>
    <cellStyle name="Normal 2" xfId="38"/>
    <cellStyle name="Normal 3" xfId="39"/>
    <cellStyle name="Note" xfId="40"/>
    <cellStyle name="Output" xfId="41"/>
    <cellStyle name="Title" xfId="42"/>
    <cellStyle name="Total" xfId="43"/>
    <cellStyle name="Warning Text" xfId="44"/>
    <cellStyle name="Гиперссылка" xfId="98" builtinId="8" customBuiltin="1"/>
    <cellStyle name="Гиперссылка 2" xfId="45"/>
    <cellStyle name="Обычный" xfId="0" builtinId="0"/>
    <cellStyle name="Обычный 10" xfId="46"/>
    <cellStyle name="Обычный 11" xfId="47"/>
    <cellStyle name="Обычный 12" xfId="48"/>
    <cellStyle name="Обычный 13" xfId="49"/>
    <cellStyle name="Обычный 14" xfId="50"/>
    <cellStyle name="Обычный 15" xfId="51"/>
    <cellStyle name="Обычный 16" xfId="52"/>
    <cellStyle name="Обычный 17" xfId="53"/>
    <cellStyle name="Обычный 18" xfId="54"/>
    <cellStyle name="Обычный 19" xfId="55"/>
    <cellStyle name="Обычный 2" xfId="56"/>
    <cellStyle name="Обычный 2 2" xfId="57"/>
    <cellStyle name="Обычный 2_INOPRESSA.RU" xfId="58"/>
    <cellStyle name="Обычный 20" xfId="59"/>
    <cellStyle name="Обычный 21" xfId="60"/>
    <cellStyle name="Обычный 22" xfId="61"/>
    <cellStyle name="Обычный 23" xfId="62"/>
    <cellStyle name="Обычный 24" xfId="63"/>
    <cellStyle name="Обычный 25" xfId="64"/>
    <cellStyle name="Обычный 26" xfId="65"/>
    <cellStyle name="Обычный 27" xfId="66"/>
    <cellStyle name="Обычный 28" xfId="67"/>
    <cellStyle name="Обычный 29" xfId="68"/>
    <cellStyle name="Обычный 3" xfId="69"/>
    <cellStyle name="Обычный 30" xfId="70"/>
    <cellStyle name="Обычный 4" xfId="71"/>
    <cellStyle name="Обычный 5" xfId="72"/>
    <cellStyle name="Обычный 6" xfId="73"/>
    <cellStyle name="Обычный 7" xfId="74"/>
    <cellStyle name="Обычный 8" xfId="75"/>
    <cellStyle name="Обычный 9" xfId="76"/>
    <cellStyle name="Обычный_Лист1" xfId="77"/>
    <cellStyle name="Процентный" xfId="78" builtinId="5"/>
    <cellStyle name="Процентный 2" xfId="79"/>
    <cellStyle name="Процентный 2 2" xfId="80"/>
    <cellStyle name="Процентный 3" xfId="81"/>
    <cellStyle name="Процентный 4" xfId="82"/>
    <cellStyle name="Стиль 1" xfId="83"/>
    <cellStyle name="Финансовый" xfId="84" builtinId="3"/>
    <cellStyle name="Финансовый 10" xfId="85"/>
    <cellStyle name="Финансовый 11" xfId="86"/>
    <cellStyle name="Финансовый 12" xfId="87"/>
    <cellStyle name="Финансовый 13" xfId="88"/>
    <cellStyle name="Финансовый 14" xfId="89"/>
    <cellStyle name="Финансовый 2" xfId="90"/>
    <cellStyle name="Финансовый 2 2" xfId="99"/>
    <cellStyle name="Финансовый 3" xfId="91"/>
    <cellStyle name="Финансовый 4" xfId="92"/>
    <cellStyle name="Финансовый 5" xfId="93"/>
    <cellStyle name="Финансовый 6" xfId="94"/>
    <cellStyle name="Финансовый 7" xfId="95"/>
    <cellStyle name="Финансовый 8" xfId="96"/>
    <cellStyle name="Финансовый 9" xfId="97"/>
  </cellStyles>
  <dxfs count="730">
    <dxf>
      <border>
        <top style="thin">
          <color indexed="64"/>
        </top>
      </border>
    </dxf>
    <dxf>
      <font>
        <color indexed="9"/>
      </font>
      <border>
        <top/>
      </border>
    </dxf>
    <dxf>
      <font>
        <b/>
        <i val="0"/>
      </font>
    </dxf>
    <dxf>
      <border>
        <top style="thin">
          <color indexed="64"/>
        </top>
      </border>
    </dxf>
    <dxf>
      <font>
        <color indexed="9"/>
      </font>
      <border>
        <top/>
      </border>
    </dxf>
    <dxf>
      <border>
        <top style="thin">
          <color indexed="64"/>
        </top>
      </border>
    </dxf>
    <dxf>
      <font>
        <color indexed="9"/>
      </font>
      <border>
        <top/>
      </border>
    </dxf>
    <dxf>
      <border>
        <top style="thin">
          <color indexed="64"/>
        </top>
      </border>
    </dxf>
    <dxf>
      <font>
        <color indexed="9"/>
      </font>
      <border>
        <top/>
      </border>
    </dxf>
    <dxf>
      <border>
        <top style="thin">
          <color indexed="64"/>
        </top>
      </border>
    </dxf>
    <dxf>
      <font>
        <color indexed="9"/>
      </font>
      <border>
        <top/>
      </border>
    </dxf>
    <dxf>
      <border>
        <top style="thin">
          <color indexed="64"/>
        </top>
      </border>
    </dxf>
    <dxf>
      <font>
        <color indexed="9"/>
      </font>
      <border>
        <top/>
      </border>
    </dxf>
    <dxf>
      <border>
        <top style="thin">
          <color indexed="64"/>
        </top>
      </border>
    </dxf>
    <dxf>
      <font>
        <color indexed="9"/>
      </font>
      <border>
        <top/>
      </border>
    </dxf>
    <dxf>
      <border>
        <top style="thin">
          <color indexed="64"/>
        </top>
      </border>
    </dxf>
    <dxf>
      <font>
        <color indexed="9"/>
      </font>
      <border>
        <top/>
      </border>
    </dxf>
    <dxf>
      <border>
        <top style="thin">
          <color indexed="64"/>
        </top>
      </border>
    </dxf>
    <dxf>
      <font>
        <color indexed="9"/>
      </font>
      <border>
        <top/>
      </border>
    </dxf>
    <dxf>
      <border>
        <top style="thin">
          <color indexed="64"/>
        </top>
      </border>
    </dxf>
    <dxf>
      <font>
        <color indexed="9"/>
      </font>
      <border>
        <top/>
      </border>
    </dxf>
    <dxf>
      <border>
        <top style="thin">
          <color indexed="64"/>
        </top>
      </border>
    </dxf>
    <dxf>
      <font>
        <color indexed="9"/>
      </font>
      <border>
        <top/>
      </border>
    </dxf>
    <dxf>
      <border>
        <top style="thin">
          <color indexed="64"/>
        </top>
      </border>
    </dxf>
    <dxf>
      <font>
        <color indexed="9"/>
      </font>
      <border>
        <top/>
      </border>
    </dxf>
    <dxf>
      <border>
        <top style="thin">
          <color indexed="64"/>
        </top>
      </border>
    </dxf>
    <dxf>
      <font>
        <color indexed="9"/>
      </font>
      <border>
        <top/>
      </border>
    </dxf>
    <dxf>
      <border>
        <top style="thin">
          <color indexed="64"/>
        </top>
      </border>
    </dxf>
    <dxf>
      <font>
        <color indexed="9"/>
      </font>
      <border>
        <top/>
      </border>
    </dxf>
    <dxf>
      <border>
        <top style="thin">
          <color indexed="64"/>
        </top>
      </border>
    </dxf>
    <dxf>
      <font>
        <color indexed="9"/>
      </font>
      <border>
        <top/>
      </border>
    </dxf>
    <dxf>
      <border>
        <top style="thin">
          <color indexed="64"/>
        </top>
      </border>
    </dxf>
    <dxf>
      <font>
        <color indexed="9"/>
      </font>
      <border>
        <top/>
      </border>
    </dxf>
    <dxf>
      <border>
        <top style="thin">
          <color indexed="64"/>
        </top>
      </border>
    </dxf>
    <dxf>
      <font>
        <color indexed="9"/>
      </font>
      <border>
        <top/>
      </border>
    </dxf>
    <dxf>
      <border>
        <top style="thin">
          <color indexed="64"/>
        </top>
      </border>
    </dxf>
    <dxf>
      <font>
        <color indexed="9"/>
      </font>
      <border>
        <top/>
      </border>
    </dxf>
    <dxf>
      <border>
        <top style="thin">
          <color indexed="64"/>
        </top>
      </border>
    </dxf>
    <dxf>
      <font>
        <color indexed="9"/>
      </font>
      <border>
        <top/>
      </border>
    </dxf>
    <dxf>
      <border>
        <top style="thin">
          <color indexed="64"/>
        </top>
      </border>
    </dxf>
    <dxf>
      <font>
        <color indexed="9"/>
      </font>
      <border>
        <top/>
      </border>
    </dxf>
    <dxf>
      <border>
        <top style="thin">
          <color indexed="64"/>
        </top>
      </border>
    </dxf>
    <dxf>
      <font>
        <color indexed="9"/>
      </font>
      <border>
        <top/>
      </border>
    </dxf>
    <dxf>
      <border>
        <top style="thin">
          <color indexed="64"/>
        </top>
      </border>
    </dxf>
    <dxf>
      <font>
        <color indexed="9"/>
      </font>
      <border>
        <top/>
      </border>
    </dxf>
    <dxf>
      <border>
        <top style="thin">
          <color indexed="64"/>
        </top>
      </border>
    </dxf>
    <dxf>
      <font>
        <color indexed="9"/>
      </font>
      <border>
        <top/>
      </border>
    </dxf>
    <dxf>
      <border>
        <top style="thin">
          <color indexed="64"/>
        </top>
      </border>
    </dxf>
    <dxf>
      <font>
        <color indexed="9"/>
      </font>
      <border>
        <top/>
      </border>
    </dxf>
    <dxf>
      <border>
        <top style="thin">
          <color indexed="64"/>
        </top>
      </border>
    </dxf>
    <dxf>
      <font>
        <color indexed="9"/>
      </font>
      <border>
        <top/>
      </border>
    </dxf>
    <dxf>
      <border>
        <top style="thin">
          <color indexed="64"/>
        </top>
      </border>
    </dxf>
    <dxf>
      <font>
        <color indexed="9"/>
      </font>
      <border>
        <top/>
      </border>
    </dxf>
    <dxf>
      <border>
        <top style="thin">
          <color indexed="64"/>
        </top>
      </border>
    </dxf>
    <dxf>
      <font>
        <color indexed="9"/>
      </font>
      <border>
        <top/>
      </border>
    </dxf>
    <dxf>
      <border>
        <top style="thin">
          <color indexed="64"/>
        </top>
      </border>
    </dxf>
    <dxf>
      <font>
        <color indexed="9"/>
      </font>
      <border>
        <top/>
      </border>
    </dxf>
    <dxf>
      <font>
        <b/>
        <i val="0"/>
      </font>
    </dxf>
    <dxf>
      <border>
        <top style="thin">
          <color indexed="64"/>
        </top>
      </border>
    </dxf>
    <dxf>
      <font>
        <color indexed="9"/>
      </font>
      <border>
        <top/>
      </border>
    </dxf>
    <dxf>
      <font>
        <b/>
        <i val="0"/>
      </font>
    </dxf>
    <dxf>
      <border>
        <top style="thin">
          <color indexed="64"/>
        </top>
      </border>
    </dxf>
    <dxf>
      <font>
        <color indexed="9"/>
      </font>
      <border>
        <top/>
      </border>
    </dxf>
    <dxf>
      <font>
        <b/>
        <i val="0"/>
      </font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C0C0C0"/>
      </font>
    </dxf>
    <dxf>
      <fill>
        <patternFill>
          <bgColor indexed="29"/>
        </patternFill>
      </fill>
    </dxf>
    <dxf>
      <fill>
        <patternFill>
          <bgColor indexed="22"/>
        </patternFill>
      </fill>
    </dxf>
    <dxf>
      <font>
        <color rgb="FFC0C0C0"/>
      </font>
    </dxf>
    <dxf>
      <fill>
        <patternFill>
          <bgColor indexed="29"/>
        </patternFill>
      </fill>
    </dxf>
    <dxf>
      <fill>
        <patternFill>
          <bgColor indexed="22"/>
        </patternFill>
      </fill>
    </dxf>
    <dxf>
      <font>
        <color rgb="FFC0C0C0"/>
      </font>
    </dxf>
    <dxf>
      <font>
        <color rgb="FFC0C0C0"/>
      </font>
    </dxf>
    <dxf>
      <font>
        <color rgb="FFC0C0C0"/>
      </font>
    </dxf>
    <dxf>
      <fill>
        <patternFill>
          <bgColor indexed="29"/>
        </patternFill>
      </fill>
    </dxf>
    <dxf>
      <fill>
        <patternFill>
          <bgColor indexed="22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0000"/>
        </patternFill>
      </fill>
    </dxf>
    <dxf>
      <font>
        <b/>
        <i/>
        <color rgb="FF0000CC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ont>
        <color rgb="FF000099"/>
      </font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EAEAEA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EAEAEA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EAEAEA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EAEAEA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CCC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FF99"/>
        </patternFill>
      </fill>
    </dxf>
    <dxf>
      <fill>
        <patternFill>
          <bgColor rgb="FFFFCCC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/>
        <color rgb="FF0000CC"/>
      </font>
    </dxf>
    <dxf>
      <fill>
        <patternFill>
          <bgColor rgb="FFEAEAEA"/>
        </patternFill>
      </fill>
    </dxf>
    <dxf>
      <font>
        <color rgb="FF000099"/>
      </font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EAEAEA"/>
        </patternFill>
      </fill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EAEAEA"/>
        </patternFill>
      </fill>
    </dxf>
    <dxf>
      <fill>
        <patternFill>
          <bgColor rgb="FFFFFF99"/>
        </patternFill>
      </fill>
    </dxf>
    <dxf>
      <fill>
        <patternFill>
          <bgColor rgb="FFFFFFC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EAEAEA"/>
        </patternFill>
      </fill>
    </dxf>
    <dxf>
      <fill>
        <patternFill>
          <bgColor rgb="FFFFFF99"/>
        </patternFill>
      </fill>
    </dxf>
    <dxf>
      <fill>
        <patternFill>
          <bgColor rgb="FFFFFFC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EAEAEA"/>
        </patternFill>
      </fill>
    </dxf>
    <dxf>
      <fill>
        <patternFill>
          <bgColor rgb="FFFFFF99"/>
        </patternFill>
      </fill>
    </dxf>
    <dxf>
      <fill>
        <patternFill>
          <bgColor rgb="FFFFFFC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EAEAEA"/>
        </patternFill>
      </fill>
    </dxf>
    <dxf>
      <fill>
        <patternFill>
          <bgColor rgb="FFFFFF99"/>
        </patternFill>
      </fill>
    </dxf>
    <dxf>
      <fill>
        <patternFill>
          <bgColor rgb="FFFFFFC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FFCC"/>
        </patternFill>
      </fill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FFC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FFC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FFC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FFC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FFC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FFC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FFC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CCCC"/>
        </patternFill>
      </fill>
    </dxf>
    <dxf>
      <fill>
        <patternFill>
          <bgColor rgb="FFFFFF99"/>
        </patternFill>
      </fill>
    </dxf>
    <dxf>
      <fill>
        <patternFill>
          <bgColor rgb="FFFFFFC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FFFF00"/>
        </patternFill>
      </fill>
    </dxf>
    <dxf>
      <font>
        <color rgb="FFC0C0C0"/>
      </font>
    </dxf>
    <dxf>
      <fill>
        <patternFill>
          <bgColor rgb="FFFF0000"/>
        </patternFill>
      </fill>
    </dxf>
    <dxf>
      <font>
        <b/>
        <i/>
        <color rgb="FF0000CC"/>
      </font>
    </dxf>
    <dxf>
      <font>
        <color rgb="FF000099"/>
      </font>
    </dxf>
    <dxf>
      <fill>
        <patternFill>
          <bgColor rgb="FFFF0000"/>
        </patternFill>
      </fill>
    </dxf>
    <dxf>
      <font>
        <b/>
        <i/>
        <color rgb="FF0000CC"/>
      </font>
    </dxf>
    <dxf>
      <font>
        <color rgb="FF000099"/>
      </font>
    </dxf>
    <dxf>
      <fill>
        <patternFill>
          <bgColor rgb="FFEAEAEA"/>
        </patternFill>
      </fill>
    </dxf>
    <dxf>
      <fill>
        <patternFill>
          <bgColor rgb="FFFFFF99"/>
        </patternFill>
      </fill>
    </dxf>
    <dxf>
      <fill>
        <patternFill>
          <bgColor rgb="FFFFFFC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EAEAEA"/>
        </patternFill>
      </fill>
    </dxf>
    <dxf>
      <fill>
        <patternFill>
          <bgColor rgb="FFFFFF99"/>
        </patternFill>
      </fill>
    </dxf>
    <dxf>
      <fill>
        <patternFill>
          <bgColor rgb="FFFFFFC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EAEAEA"/>
        </patternFill>
      </fill>
    </dxf>
    <dxf>
      <fill>
        <patternFill>
          <bgColor rgb="FFFFFF99"/>
        </patternFill>
      </fill>
    </dxf>
    <dxf>
      <fill>
        <patternFill>
          <bgColor rgb="FFFFFFC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/>
        <color rgb="FF0000CC"/>
      </font>
    </dxf>
    <dxf>
      <fill>
        <patternFill>
          <bgColor rgb="FFEAEAEA"/>
        </patternFill>
      </fill>
    </dxf>
    <dxf>
      <font>
        <color rgb="FF000099"/>
      </font>
    </dxf>
    <dxf>
      <fill>
        <patternFill>
          <bgColor rgb="FFEAEAEA"/>
        </patternFill>
      </fill>
    </dxf>
    <dxf>
      <fill>
        <patternFill>
          <bgColor rgb="FFFFFF99"/>
        </patternFill>
      </fill>
    </dxf>
    <dxf>
      <fill>
        <patternFill>
          <bgColor rgb="FFFFFFC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EAEAEA"/>
        </patternFill>
      </fill>
    </dxf>
    <dxf>
      <fill>
        <patternFill>
          <bgColor rgb="FFFFFF99"/>
        </patternFill>
      </fill>
    </dxf>
    <dxf>
      <fill>
        <patternFill>
          <bgColor rgb="FFFFFFC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/>
        <color rgb="FF0000CC"/>
      </font>
    </dxf>
    <dxf>
      <fill>
        <patternFill>
          <bgColor rgb="FFEAEAEA"/>
        </patternFill>
      </fill>
    </dxf>
    <dxf>
      <font>
        <color rgb="FF000099"/>
      </font>
    </dxf>
    <dxf>
      <fill>
        <patternFill>
          <bgColor rgb="FFEAEAEA"/>
        </patternFill>
      </fill>
    </dxf>
    <dxf>
      <fill>
        <patternFill>
          <bgColor rgb="FFFFFF99"/>
        </patternFill>
      </fill>
    </dxf>
    <dxf>
      <fill>
        <patternFill>
          <bgColor rgb="FFFFFFC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ill>
        <patternFill>
          <bgColor rgb="FFEAEAEA"/>
        </patternFill>
      </fill>
    </dxf>
    <dxf>
      <fill>
        <patternFill>
          <bgColor rgb="FFFFFF99"/>
        </patternFill>
      </fill>
    </dxf>
    <dxf>
      <fill>
        <patternFill>
          <bgColor rgb="FFFFFFC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/>
        <color rgb="FF0000CC"/>
      </font>
    </dxf>
    <dxf>
      <fill>
        <patternFill>
          <bgColor rgb="FFEAEAEA"/>
        </patternFill>
      </fill>
    </dxf>
    <dxf>
      <font>
        <color rgb="FF000099"/>
      </font>
    </dxf>
    <dxf>
      <fill>
        <patternFill>
          <bgColor rgb="FFEAEAEA"/>
        </patternFill>
      </fill>
    </dxf>
    <dxf>
      <fill>
        <patternFill>
          <bgColor rgb="FFFFFF99"/>
        </patternFill>
      </fill>
    </dxf>
    <dxf>
      <fill>
        <patternFill>
          <bgColor rgb="FFFFFFC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AEAEA"/>
        </patternFill>
      </fill>
    </dxf>
    <dxf>
      <font>
        <color rgb="FFC0C0C0"/>
      </font>
    </dxf>
    <dxf>
      <fill>
        <patternFill>
          <bgColor rgb="FFFFCCCC"/>
        </patternFill>
      </fill>
    </dxf>
    <dxf>
      <fill>
        <patternFill>
          <bgColor rgb="FFEAEAEA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/>
        <color rgb="FF0000CC"/>
      </font>
    </dxf>
    <dxf>
      <fill>
        <patternFill>
          <bgColor rgb="FFEAEAEA"/>
        </patternFill>
      </fill>
    </dxf>
    <dxf>
      <font>
        <color rgb="FF000099"/>
      </font>
    </dxf>
    <dxf>
      <fill>
        <patternFill>
          <bgColor rgb="FFFFFF00"/>
        </patternFill>
      </fill>
    </dxf>
    <dxf>
      <font>
        <color rgb="FFC0C0C0"/>
      </font>
    </dxf>
    <dxf>
      <font>
        <color rgb="FFC0C0C0"/>
      </font>
    </dxf>
    <dxf>
      <font>
        <b val="0"/>
        <i/>
        <color rgb="FF0000CC"/>
      </font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ont>
        <b/>
        <i/>
        <condense val="0"/>
        <extend val="0"/>
        <color indexed="23"/>
      </font>
    </dxf>
    <dxf>
      <fill>
        <patternFill>
          <bgColor indexed="22"/>
        </patternFill>
      </fill>
    </dxf>
    <dxf>
      <font>
        <color rgb="FFC0C0C0"/>
      </font>
    </dxf>
    <dxf>
      <font>
        <b val="0"/>
        <i/>
        <color rgb="FF0000CC"/>
      </font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ont>
        <b/>
        <i/>
        <condense val="0"/>
        <extend val="0"/>
        <color indexed="23"/>
      </font>
    </dxf>
    <dxf>
      <fill>
        <patternFill>
          <bgColor indexed="22"/>
        </patternFill>
      </fill>
    </dxf>
    <dxf>
      <fill>
        <patternFill>
          <bgColor rgb="FFFF0000"/>
        </patternFill>
      </fill>
    </dxf>
    <dxf>
      <font>
        <color rgb="FFC0C0C0"/>
      </font>
    </dxf>
    <dxf>
      <font>
        <color rgb="FFC0C0C0"/>
      </font>
    </dxf>
    <dxf>
      <font>
        <b val="0"/>
        <i/>
        <color rgb="FF0000CC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/>
        <condense val="0"/>
        <extend val="0"/>
        <color indexed="23"/>
      </font>
    </dxf>
    <dxf>
      <fill>
        <patternFill>
          <bgColor indexed="22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CC"/>
      <color rgb="FFFF00FF"/>
      <color rgb="FFFFFF99"/>
      <color rgb="FFC0C0C0"/>
      <color rgb="FF969696"/>
      <color rgb="FF5F5F5F"/>
      <color rgb="FF4D4D4D"/>
      <color rgb="FFFFFFCC"/>
      <color rgb="FFEAEAEA"/>
      <color rgb="FFF8F8F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ctrlProps/ctrlProp1.xml><?xml version="1.0" encoding="utf-8"?>
<formControlPr xmlns="http://schemas.microsoft.com/office/spreadsheetml/2009/9/main" objectType="Drop" dropLines="12" dropStyle="combo" dx="16" fmlaLink="monthStart" fmlaRange="months" val="0"/>
</file>

<file path=xl/ctrlProps/ctrlProp2.xml><?xml version="1.0" encoding="utf-8"?>
<formControlPr xmlns="http://schemas.microsoft.com/office/spreadsheetml/2009/9/main" objectType="Drop" dropLines="12" dropStyle="combo" dx="16" fmlaLink="monthFinish" fmlaRange="months" sel="12" val="0"/>
</file>

<file path=xl/ctrlProps/ctrlProp3.xml><?xml version="1.0" encoding="utf-8"?>
<formControlPr xmlns="http://schemas.microsoft.com/office/spreadsheetml/2009/9/main" objectType="CheckBox" fmlaLink="fixReachX" lockText="1"/>
</file>

<file path=xl/ctrlProps/ctrlProp4.xml><?xml version="1.0" encoding="utf-8"?>
<formControlPr xmlns="http://schemas.microsoft.com/office/spreadsheetml/2009/9/main" objectType="CheckBox" fmlaLink="fixDelayX" lockText="1"/>
</file>

<file path=xl/ctrlProps/ctrlProp5.xml><?xml version="1.0" encoding="utf-8"?>
<formControlPr xmlns="http://schemas.microsoft.com/office/spreadsheetml/2009/9/main" objectType="CheckBox" fmlaLink="fixReachZ" lockText="1"/>
</file>

<file path=xl/ctrlProps/ctrlProp6.xml><?xml version="1.0" encoding="utf-8"?>
<formControlPr xmlns="http://schemas.microsoft.com/office/spreadsheetml/2009/9/main" objectType="CheckBox" fmlaLink="fixDelayZ" lockText="1"/>
</file>

<file path=xl/ctrlProps/ctrlProp7.xml><?xml version="1.0" encoding="utf-8"?>
<formControlPr xmlns="http://schemas.microsoft.com/office/spreadsheetml/2009/9/main" objectType="CheckBox" fmlaLink="fixDiscZ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342900</xdr:colOff>
          <xdr:row>9</xdr:row>
          <xdr:rowOff>57150</xdr:rowOff>
        </xdr:from>
        <xdr:to>
          <xdr:col>2</xdr:col>
          <xdr:colOff>1847850</xdr:colOff>
          <xdr:row>9</xdr:row>
          <xdr:rowOff>257175</xdr:rowOff>
        </xdr:to>
        <xdr:sp macro="" textlink="">
          <xdr:nvSpPr>
            <xdr:cNvPr id="1378" name="Drop Down 354" hidden="1">
              <a:extLst>
                <a:ext uri="{63B3BB69-23CF-44E3-9099-C40C66FF867C}">
                  <a14:compatExt spid="_x0000_s13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342900</xdr:colOff>
          <xdr:row>10</xdr:row>
          <xdr:rowOff>57150</xdr:rowOff>
        </xdr:from>
        <xdr:to>
          <xdr:col>2</xdr:col>
          <xdr:colOff>1847850</xdr:colOff>
          <xdr:row>10</xdr:row>
          <xdr:rowOff>257175</xdr:rowOff>
        </xdr:to>
        <xdr:sp macro="" textlink="">
          <xdr:nvSpPr>
            <xdr:cNvPr id="1379" name="Drop Down 355" hidden="1">
              <a:extLst>
                <a:ext uri="{63B3BB69-23CF-44E3-9099-C40C66FF867C}">
                  <a14:compatExt spid="_x0000_s13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</xdr:row>
          <xdr:rowOff>57150</xdr:rowOff>
        </xdr:from>
        <xdr:to>
          <xdr:col>2</xdr:col>
          <xdr:colOff>409575</xdr:colOff>
          <xdr:row>14</xdr:row>
          <xdr:rowOff>276225</xdr:rowOff>
        </xdr:to>
        <xdr:sp macro="" textlink="">
          <xdr:nvSpPr>
            <xdr:cNvPr id="1380" name="Check Box 356" hidden="1">
              <a:extLst>
                <a:ext uri="{63B3BB69-23CF-44E3-9099-C40C66FF867C}">
                  <a14:compatExt spid="_x0000_s13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</xdr:row>
          <xdr:rowOff>57150</xdr:rowOff>
        </xdr:from>
        <xdr:to>
          <xdr:col>2</xdr:col>
          <xdr:colOff>409575</xdr:colOff>
          <xdr:row>15</xdr:row>
          <xdr:rowOff>276225</xdr:rowOff>
        </xdr:to>
        <xdr:sp macro="" textlink="">
          <xdr:nvSpPr>
            <xdr:cNvPr id="1381" name="Check Box 357" hidden="1">
              <a:extLst>
                <a:ext uri="{63B3BB69-23CF-44E3-9099-C40C66FF867C}">
                  <a14:compatExt spid="_x0000_s13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3</xdr:col>
      <xdr:colOff>1297781</xdr:colOff>
      <xdr:row>0</xdr:row>
      <xdr:rowOff>35719</xdr:rowOff>
    </xdr:from>
    <xdr:to>
      <xdr:col>4</xdr:col>
      <xdr:colOff>1222562</xdr:colOff>
      <xdr:row>4</xdr:row>
      <xdr:rowOff>261887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41281" y="35719"/>
          <a:ext cx="1258281" cy="121438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60</xdr:row>
      <xdr:rowOff>117021</xdr:rowOff>
    </xdr:from>
    <xdr:to>
      <xdr:col>7</xdr:col>
      <xdr:colOff>0</xdr:colOff>
      <xdr:row>63</xdr:row>
      <xdr:rowOff>22216</xdr:rowOff>
    </xdr:to>
    <xdr:sp macro="" textlink="">
      <xdr:nvSpPr>
        <xdr:cNvPr id="2" name="Text Box 8"/>
        <xdr:cNvSpPr txBox="1">
          <a:spLocks noChangeArrowheads="1"/>
        </xdr:cNvSpPr>
      </xdr:nvSpPr>
      <xdr:spPr bwMode="auto">
        <a:xfrm>
          <a:off x="190500" y="7737021"/>
          <a:ext cx="10182225" cy="39097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* Условия размещения баннеров нестандартных форматов, а также товарных категорий, регулируемых законом о рекламе, необходимо предварительно согласовывать с Вашим клиентским менеджером.</a:t>
          </a:r>
        </a:p>
        <a:p>
          <a:pPr algn="l" rtl="1">
            <a:defRPr sz="1000"/>
          </a:pPr>
          <a:endParaRPr lang="ru-RU" sz="1000" b="0" i="0" strike="noStrike">
            <a:solidFill>
              <a:srgbClr val="000000"/>
            </a:solidFill>
            <a:latin typeface="Arial Cyr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46</xdr:row>
      <xdr:rowOff>117021</xdr:rowOff>
    </xdr:from>
    <xdr:to>
      <xdr:col>7</xdr:col>
      <xdr:colOff>0</xdr:colOff>
      <xdr:row>49</xdr:row>
      <xdr:rowOff>22216</xdr:rowOff>
    </xdr:to>
    <xdr:sp macro="" textlink="">
      <xdr:nvSpPr>
        <xdr:cNvPr id="2" name="Text Box 8"/>
        <xdr:cNvSpPr txBox="1">
          <a:spLocks noChangeArrowheads="1"/>
        </xdr:cNvSpPr>
      </xdr:nvSpPr>
      <xdr:spPr bwMode="auto">
        <a:xfrm>
          <a:off x="190500" y="8146596"/>
          <a:ext cx="10182225" cy="39097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* Условия размещения баннеров нестандартных форматов, а также товарных категорий, регулируемых законом о рекламе, необходимо предварительно согласовывать с Вашим клиентским менеджером.</a:t>
          </a:r>
        </a:p>
        <a:p>
          <a:pPr algn="l" rtl="1">
            <a:defRPr sz="1000"/>
          </a:pPr>
          <a:endParaRPr lang="ru-RU" sz="1000" b="0" i="0" strike="noStrike">
            <a:solidFill>
              <a:srgbClr val="000000"/>
            </a:solidFill>
            <a:latin typeface="Arial Cyr"/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44</xdr:row>
      <xdr:rowOff>117021</xdr:rowOff>
    </xdr:from>
    <xdr:to>
      <xdr:col>7</xdr:col>
      <xdr:colOff>0</xdr:colOff>
      <xdr:row>47</xdr:row>
      <xdr:rowOff>22216</xdr:rowOff>
    </xdr:to>
    <xdr:sp macro="" textlink="">
      <xdr:nvSpPr>
        <xdr:cNvPr id="2" name="Text Box 8"/>
        <xdr:cNvSpPr txBox="1">
          <a:spLocks noChangeArrowheads="1"/>
        </xdr:cNvSpPr>
      </xdr:nvSpPr>
      <xdr:spPr bwMode="auto">
        <a:xfrm>
          <a:off x="190500" y="8146596"/>
          <a:ext cx="10182225" cy="39097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* Условия размещения баннеров нестандартных форматов, а также товарных категорий, регулируемых законом о рекламе, необходимо предварительно согласовывать с Вашим клиентским менеджером.</a:t>
          </a:r>
        </a:p>
        <a:p>
          <a:pPr algn="l" rtl="1">
            <a:defRPr sz="1000"/>
          </a:pPr>
          <a:endParaRPr lang="ru-RU" sz="1000" b="0" i="0" strike="noStrike">
            <a:solidFill>
              <a:srgbClr val="000000"/>
            </a:solidFill>
            <a:latin typeface="Arial Cyr"/>
          </a:endParaRP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46</xdr:row>
      <xdr:rowOff>133350</xdr:rowOff>
    </xdr:from>
    <xdr:to>
      <xdr:col>7</xdr:col>
      <xdr:colOff>0</xdr:colOff>
      <xdr:row>49</xdr:row>
      <xdr:rowOff>9890</xdr:rowOff>
    </xdr:to>
    <xdr:sp macro="" textlink="">
      <xdr:nvSpPr>
        <xdr:cNvPr id="47110" name="Text Box 6"/>
        <xdr:cNvSpPr txBox="1">
          <a:spLocks noChangeArrowheads="1"/>
        </xdr:cNvSpPr>
      </xdr:nvSpPr>
      <xdr:spPr bwMode="auto">
        <a:xfrm>
          <a:off x="180975" y="11858625"/>
          <a:ext cx="8534400" cy="3714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* Условия размещения баннеров нестандартных форматов, а также товарных категорий, регулируемых законом о рекламе, необходимо предварительно согласовывать с Вашим клиентским менеджером.</a:t>
          </a:r>
        </a:p>
        <a:p>
          <a:pPr algn="l" rtl="1">
            <a:defRPr sz="1000"/>
          </a:pPr>
          <a:endParaRPr lang="ru-RU" sz="1000" b="0" i="0" strike="noStrike">
            <a:solidFill>
              <a:srgbClr val="000000"/>
            </a:solidFill>
            <a:latin typeface="Arial Cyr"/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50</xdr:row>
      <xdr:rowOff>95703</xdr:rowOff>
    </xdr:from>
    <xdr:to>
      <xdr:col>7</xdr:col>
      <xdr:colOff>0</xdr:colOff>
      <xdr:row>52</xdr:row>
      <xdr:rowOff>115169</xdr:rowOff>
    </xdr:to>
    <xdr:sp macro="" textlink="">
      <xdr:nvSpPr>
        <xdr:cNvPr id="44039" name="Text Box 7"/>
        <xdr:cNvSpPr txBox="1">
          <a:spLocks noChangeArrowheads="1"/>
        </xdr:cNvSpPr>
      </xdr:nvSpPr>
      <xdr:spPr bwMode="auto">
        <a:xfrm>
          <a:off x="180975" y="11049000"/>
          <a:ext cx="8534400" cy="3714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* Условия размещения баннеров нестандартных форматов, а также товарных категорий, регулируемых законом о рекламе, необходимо предварительно согласовывать с Вашим клиентским менеджером.</a:t>
          </a:r>
        </a:p>
        <a:p>
          <a:pPr algn="l" rtl="1">
            <a:defRPr sz="1000"/>
          </a:pPr>
          <a:endParaRPr lang="ru-RU" sz="1000" b="0" i="0" strike="noStrike">
            <a:solidFill>
              <a:srgbClr val="000000"/>
            </a:solidFill>
            <a:latin typeface="Arial Cyr"/>
          </a:endParaRP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56</xdr:row>
      <xdr:rowOff>53067</xdr:rowOff>
    </xdr:from>
    <xdr:to>
      <xdr:col>7</xdr:col>
      <xdr:colOff>0</xdr:colOff>
      <xdr:row>58</xdr:row>
      <xdr:rowOff>91578</xdr:rowOff>
    </xdr:to>
    <xdr:sp macro="" textlink="">
      <xdr:nvSpPr>
        <xdr:cNvPr id="56323" name="Text Box 3"/>
        <xdr:cNvSpPr txBox="1">
          <a:spLocks noChangeArrowheads="1"/>
        </xdr:cNvSpPr>
      </xdr:nvSpPr>
      <xdr:spPr bwMode="auto">
        <a:xfrm>
          <a:off x="180975" y="13763625"/>
          <a:ext cx="8534400" cy="3714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* Условия размещения баннеров нестандартных форматов, а также товарных категорий, регулируемых законом о рекламе, необходимо предварительно согласовывать с Вашим клиентским менеджером.</a:t>
          </a:r>
        </a:p>
        <a:p>
          <a:pPr algn="l" rtl="1">
            <a:defRPr sz="1000"/>
          </a:pPr>
          <a:endParaRPr lang="ru-RU" sz="1000" b="0" i="0" strike="noStrike">
            <a:solidFill>
              <a:srgbClr val="000000"/>
            </a:solidFill>
            <a:latin typeface="Arial Cyr"/>
          </a:endParaRP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51</xdr:row>
      <xdr:rowOff>53067</xdr:rowOff>
    </xdr:from>
    <xdr:to>
      <xdr:col>7</xdr:col>
      <xdr:colOff>0</xdr:colOff>
      <xdr:row>53</xdr:row>
      <xdr:rowOff>91578</xdr:rowOff>
    </xdr:to>
    <xdr:sp macro="" textlink="">
      <xdr:nvSpPr>
        <xdr:cNvPr id="56323" name="Text Box 3"/>
        <xdr:cNvSpPr txBox="1">
          <a:spLocks noChangeArrowheads="1"/>
        </xdr:cNvSpPr>
      </xdr:nvSpPr>
      <xdr:spPr bwMode="auto">
        <a:xfrm>
          <a:off x="180975" y="13763625"/>
          <a:ext cx="8534400" cy="3714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* Условия размещения баннеров нестандартных форматов, а также товарных категорий, регулируемых законом о рекламе, необходимо предварительно согласовывать с Вашим клиентским менеджером.</a:t>
          </a:r>
        </a:p>
        <a:p>
          <a:pPr algn="l" rtl="1">
            <a:defRPr sz="1000"/>
          </a:pPr>
          <a:endParaRPr lang="ru-RU" sz="1000" b="0" i="0" strike="noStrike">
            <a:solidFill>
              <a:srgbClr val="000000"/>
            </a:solidFill>
            <a:latin typeface="Arial Cyr"/>
          </a:endParaRP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53</xdr:row>
      <xdr:rowOff>81643</xdr:rowOff>
    </xdr:from>
    <xdr:to>
      <xdr:col>7</xdr:col>
      <xdr:colOff>0</xdr:colOff>
      <xdr:row>55</xdr:row>
      <xdr:rowOff>124681</xdr:rowOff>
    </xdr:to>
    <xdr:sp macro="" textlink="">
      <xdr:nvSpPr>
        <xdr:cNvPr id="49155" name="Text Box 3"/>
        <xdr:cNvSpPr txBox="1">
          <a:spLocks noChangeArrowheads="1"/>
        </xdr:cNvSpPr>
      </xdr:nvSpPr>
      <xdr:spPr bwMode="auto">
        <a:xfrm>
          <a:off x="180975" y="9906000"/>
          <a:ext cx="8534400" cy="3714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* Условия размещения баннеров нестандартных форматов, а также товарных категорий, регулируемых законом о рекламе, необходимо предварительно согласовывать с Вашим клиентским менеджером.</a:t>
          </a:r>
        </a:p>
        <a:p>
          <a:pPr algn="l" rtl="1">
            <a:defRPr sz="1000"/>
          </a:pPr>
          <a:endParaRPr lang="ru-RU" sz="1000" b="0" i="0" strike="noStrike">
            <a:solidFill>
              <a:srgbClr val="000000"/>
            </a:solidFill>
            <a:latin typeface="Arial Cyr"/>
          </a:endParaRP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73</xdr:row>
      <xdr:rowOff>62593</xdr:rowOff>
    </xdr:from>
    <xdr:to>
      <xdr:col>7</xdr:col>
      <xdr:colOff>0</xdr:colOff>
      <xdr:row>75</xdr:row>
      <xdr:rowOff>129642</xdr:rowOff>
    </xdr:to>
    <xdr:sp macro="" textlink="">
      <xdr:nvSpPr>
        <xdr:cNvPr id="49155" name="Text Box 3"/>
        <xdr:cNvSpPr txBox="1">
          <a:spLocks noChangeArrowheads="1"/>
        </xdr:cNvSpPr>
      </xdr:nvSpPr>
      <xdr:spPr bwMode="auto">
        <a:xfrm>
          <a:off x="180975" y="9906000"/>
          <a:ext cx="8534400" cy="3714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* Условия размещения баннеров нестандартных форматов, а также товарных категорий, регулируемых законом о рекламе, необходимо предварительно согласовывать с Вашим клиентским менеджером.</a:t>
          </a:r>
        </a:p>
        <a:p>
          <a:pPr algn="l" rtl="1">
            <a:defRPr sz="1000"/>
          </a:pPr>
          <a:endParaRPr lang="ru-RU" sz="1000" b="0" i="0" strike="noStrike">
            <a:solidFill>
              <a:srgbClr val="000000"/>
            </a:solidFill>
            <a:latin typeface="Arial Cyr"/>
          </a:endParaRP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50</xdr:row>
      <xdr:rowOff>123825</xdr:rowOff>
    </xdr:from>
    <xdr:to>
      <xdr:col>7</xdr:col>
      <xdr:colOff>0</xdr:colOff>
      <xdr:row>53</xdr:row>
      <xdr:rowOff>17755</xdr:rowOff>
    </xdr:to>
    <xdr:sp macro="" textlink="">
      <xdr:nvSpPr>
        <xdr:cNvPr id="57346" name="Text Box 2"/>
        <xdr:cNvSpPr txBox="1">
          <a:spLocks noChangeArrowheads="1"/>
        </xdr:cNvSpPr>
      </xdr:nvSpPr>
      <xdr:spPr bwMode="auto">
        <a:xfrm>
          <a:off x="180975" y="11210925"/>
          <a:ext cx="8534400" cy="3714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* Условия размещения баннеров нестандартных форматов, а также товарных категорий, регулируемых законом о рекламе, необходимо предварительно согласовывать с Вашим клиентским менеджером.</a:t>
          </a:r>
        </a:p>
        <a:p>
          <a:pPr algn="l" rtl="1">
            <a:defRPr sz="1000"/>
          </a:pPr>
          <a:endParaRPr lang="ru-RU" sz="1000" b="0" i="0" strike="noStrike">
            <a:solidFill>
              <a:srgbClr val="000000"/>
            </a:solidFill>
            <a:latin typeface="Arial Cyr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28575</xdr:colOff>
          <xdr:row>5</xdr:row>
          <xdr:rowOff>28575</xdr:rowOff>
        </xdr:from>
        <xdr:to>
          <xdr:col>8</xdr:col>
          <xdr:colOff>333375</xdr:colOff>
          <xdr:row>5</xdr:row>
          <xdr:rowOff>247650</xdr:rowOff>
        </xdr:to>
        <xdr:sp macro="" textlink="">
          <xdr:nvSpPr>
            <xdr:cNvPr id="82945" name="Check Box 1" hidden="1">
              <a:extLst>
                <a:ext uri="{63B3BB69-23CF-44E3-9099-C40C66FF867C}">
                  <a14:compatExt spid="_x0000_s829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28575</xdr:colOff>
          <xdr:row>7</xdr:row>
          <xdr:rowOff>28575</xdr:rowOff>
        </xdr:from>
        <xdr:to>
          <xdr:col>8</xdr:col>
          <xdr:colOff>333375</xdr:colOff>
          <xdr:row>8</xdr:row>
          <xdr:rowOff>0</xdr:rowOff>
        </xdr:to>
        <xdr:sp macro="" textlink="">
          <xdr:nvSpPr>
            <xdr:cNvPr id="82946" name="Check Box 2" hidden="1">
              <a:extLst>
                <a:ext uri="{63B3BB69-23CF-44E3-9099-C40C66FF867C}">
                  <a14:compatExt spid="_x0000_s829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28575</xdr:colOff>
          <xdr:row>6</xdr:row>
          <xdr:rowOff>28575</xdr:rowOff>
        </xdr:from>
        <xdr:to>
          <xdr:col>8</xdr:col>
          <xdr:colOff>333375</xdr:colOff>
          <xdr:row>6</xdr:row>
          <xdr:rowOff>247650</xdr:rowOff>
        </xdr:to>
        <xdr:sp macro="" textlink="">
          <xdr:nvSpPr>
            <xdr:cNvPr id="82947" name="Check Box 3" hidden="1">
              <a:extLst>
                <a:ext uri="{63B3BB69-23CF-44E3-9099-C40C66FF867C}">
                  <a14:compatExt spid="_x0000_s829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60</xdr:row>
      <xdr:rowOff>91168</xdr:rowOff>
    </xdr:from>
    <xdr:to>
      <xdr:col>7</xdr:col>
      <xdr:colOff>0</xdr:colOff>
      <xdr:row>62</xdr:row>
      <xdr:rowOff>149517</xdr:rowOff>
    </xdr:to>
    <xdr:sp macro="" textlink="">
      <xdr:nvSpPr>
        <xdr:cNvPr id="55311" name="Text Box 15"/>
        <xdr:cNvSpPr txBox="1">
          <a:spLocks noChangeArrowheads="1"/>
        </xdr:cNvSpPr>
      </xdr:nvSpPr>
      <xdr:spPr bwMode="auto">
        <a:xfrm>
          <a:off x="180975" y="11372850"/>
          <a:ext cx="8534400" cy="3714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* Условия размещения баннеров нестандартных форматов, а также товарных категорий, регулируемых законом о рекламе, необходимо предварительно согласовывать с Вашим клиентским менеджером.</a:t>
          </a:r>
        </a:p>
        <a:p>
          <a:pPr algn="l" rtl="1">
            <a:defRPr sz="1000"/>
          </a:pPr>
          <a:endParaRPr lang="ru-RU" sz="1000" b="0" i="0" strike="noStrike">
            <a:solidFill>
              <a:srgbClr val="000000"/>
            </a:solidFill>
            <a:latin typeface="Arial Cyr"/>
          </a:endParaRP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68</xdr:row>
      <xdr:rowOff>54429</xdr:rowOff>
    </xdr:from>
    <xdr:to>
      <xdr:col>7</xdr:col>
      <xdr:colOff>0</xdr:colOff>
      <xdr:row>70</xdr:row>
      <xdr:rowOff>83682</xdr:rowOff>
    </xdr:to>
    <xdr:sp macro="" textlink="">
      <xdr:nvSpPr>
        <xdr:cNvPr id="62465" name="Text Box 1"/>
        <xdr:cNvSpPr txBox="1">
          <a:spLocks noChangeArrowheads="1"/>
        </xdr:cNvSpPr>
      </xdr:nvSpPr>
      <xdr:spPr bwMode="auto">
        <a:xfrm>
          <a:off x="180975" y="12954000"/>
          <a:ext cx="8534400" cy="3714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* Условия размещения баннеров нестандартных форматов, а также товарных категорий, регулируемых законом о рекламе, необходимо предварительно согласовывать с Вашим клиентским менеджером.</a:t>
          </a:r>
        </a:p>
        <a:p>
          <a:pPr algn="l" rtl="1">
            <a:defRPr sz="1000"/>
          </a:pPr>
          <a:endParaRPr lang="ru-RU" sz="1000" b="0" i="0" strike="noStrike">
            <a:solidFill>
              <a:srgbClr val="000000"/>
            </a:solidFill>
            <a:latin typeface="Arial Cyr"/>
          </a:endParaRP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180979</xdr:colOff>
      <xdr:row>39</xdr:row>
      <xdr:rowOff>76200</xdr:rowOff>
    </xdr:from>
    <xdr:to>
      <xdr:col>6</xdr:col>
      <xdr:colOff>857254</xdr:colOff>
      <xdr:row>41</xdr:row>
      <xdr:rowOff>143143</xdr:rowOff>
    </xdr:to>
    <xdr:sp macro="" textlink="">
      <xdr:nvSpPr>
        <xdr:cNvPr id="51205" name="Text Box 5"/>
        <xdr:cNvSpPr txBox="1">
          <a:spLocks noChangeArrowheads="1"/>
        </xdr:cNvSpPr>
      </xdr:nvSpPr>
      <xdr:spPr bwMode="auto">
        <a:xfrm>
          <a:off x="180979" y="8803481"/>
          <a:ext cx="10022681" cy="400318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* Условия размещения баннеров нестандартных форматов, а также товарных категорий, регулируемых законом о рекламе, необходимо предварительно согласовывать с Вашим клиентским менеджером.</a:t>
          </a:r>
        </a:p>
        <a:p>
          <a:pPr algn="l" rtl="1">
            <a:defRPr sz="1000"/>
          </a:pPr>
          <a:endParaRPr lang="ru-RU" sz="1000" b="0" i="0" strike="noStrike">
            <a:solidFill>
              <a:srgbClr val="000000"/>
            </a:solidFill>
            <a:latin typeface="Arial Cyr"/>
          </a:endParaRP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48</xdr:row>
      <xdr:rowOff>93889</xdr:rowOff>
    </xdr:from>
    <xdr:to>
      <xdr:col>7</xdr:col>
      <xdr:colOff>0</xdr:colOff>
      <xdr:row>50</xdr:row>
      <xdr:rowOff>122035</xdr:rowOff>
    </xdr:to>
    <xdr:sp macro="" textlink="">
      <xdr:nvSpPr>
        <xdr:cNvPr id="59399" name="Text Box 7"/>
        <xdr:cNvSpPr txBox="1">
          <a:spLocks noChangeArrowheads="1"/>
        </xdr:cNvSpPr>
      </xdr:nvSpPr>
      <xdr:spPr bwMode="auto">
        <a:xfrm>
          <a:off x="180975" y="9753600"/>
          <a:ext cx="8534400" cy="3714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* Условия размещения баннеров нестандартных форматов, а также товарных категорий, регулируемых законом о рекламе, необходимо предварительно согласовывать с Вашим клиентским менеджером.</a:t>
          </a:r>
        </a:p>
        <a:p>
          <a:pPr algn="l" rtl="1">
            <a:defRPr sz="1000"/>
          </a:pPr>
          <a:endParaRPr lang="ru-RU" sz="1000" b="0" i="0" strike="noStrike">
            <a:solidFill>
              <a:srgbClr val="000000"/>
            </a:solidFill>
            <a:latin typeface="Arial Cyr"/>
          </a:endParaRP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45</xdr:row>
      <xdr:rowOff>89806</xdr:rowOff>
    </xdr:from>
    <xdr:to>
      <xdr:col>7</xdr:col>
      <xdr:colOff>0</xdr:colOff>
      <xdr:row>47</xdr:row>
      <xdr:rowOff>132755</xdr:rowOff>
    </xdr:to>
    <xdr:sp macro="" textlink="">
      <xdr:nvSpPr>
        <xdr:cNvPr id="50179" name="Text Box 3"/>
        <xdr:cNvSpPr txBox="1">
          <a:spLocks noChangeArrowheads="1"/>
        </xdr:cNvSpPr>
      </xdr:nvSpPr>
      <xdr:spPr bwMode="auto">
        <a:xfrm>
          <a:off x="171450" y="11163300"/>
          <a:ext cx="8534400" cy="3714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* Условия размещения баннеров нестандартных форматов, а также товарных категорий, регулируемых законом о рекламе, необходимо предварительно согласовывать с Вашим клиентским менеджером.</a:t>
          </a:r>
        </a:p>
        <a:p>
          <a:pPr algn="l" rtl="1">
            <a:defRPr sz="1000"/>
          </a:pPr>
          <a:endParaRPr lang="ru-RU" sz="1000" b="0" i="0" strike="noStrike">
            <a:solidFill>
              <a:srgbClr val="000000"/>
            </a:solidFill>
            <a:latin typeface="Arial Cyr"/>
          </a:endParaRP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57</xdr:row>
      <xdr:rowOff>91168</xdr:rowOff>
    </xdr:from>
    <xdr:to>
      <xdr:col>7</xdr:col>
      <xdr:colOff>0</xdr:colOff>
      <xdr:row>59</xdr:row>
      <xdr:rowOff>128205</xdr:rowOff>
    </xdr:to>
    <xdr:sp macro="" textlink="">
      <xdr:nvSpPr>
        <xdr:cNvPr id="54277" name="Text Box 5"/>
        <xdr:cNvSpPr txBox="1">
          <a:spLocks noChangeArrowheads="1"/>
        </xdr:cNvSpPr>
      </xdr:nvSpPr>
      <xdr:spPr bwMode="auto">
        <a:xfrm>
          <a:off x="180975" y="12344400"/>
          <a:ext cx="8534400" cy="3714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* Условия размещения баннеров нестандартных форматов, а также товарных категорий, регулируемых законом о рекламе, необходимо предварительно согласовывать с Вашим клиентским менеджером.</a:t>
          </a:r>
        </a:p>
        <a:p>
          <a:pPr algn="l" rtl="1">
            <a:defRPr sz="1000"/>
          </a:pPr>
          <a:endParaRPr lang="ru-RU" sz="1000" b="0" i="0" strike="noStrike">
            <a:solidFill>
              <a:srgbClr val="000000"/>
            </a:solidFill>
            <a:latin typeface="Arial Cyr"/>
          </a:endParaRP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49</xdr:row>
      <xdr:rowOff>91168</xdr:rowOff>
    </xdr:from>
    <xdr:to>
      <xdr:col>7</xdr:col>
      <xdr:colOff>0</xdr:colOff>
      <xdr:row>51</xdr:row>
      <xdr:rowOff>128205</xdr:rowOff>
    </xdr:to>
    <xdr:sp macro="" textlink="">
      <xdr:nvSpPr>
        <xdr:cNvPr id="2" name="Text Box 5"/>
        <xdr:cNvSpPr txBox="1">
          <a:spLocks noChangeArrowheads="1"/>
        </xdr:cNvSpPr>
      </xdr:nvSpPr>
      <xdr:spPr bwMode="auto">
        <a:xfrm>
          <a:off x="171450" y="10263868"/>
          <a:ext cx="10201275" cy="360887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* Условия размещения баннеров нестандартных форматов, а также товарных категорий, регулируемых законом о рекламе, необходимо предварительно согласовывать с Вашим клиентским менеджером.</a:t>
          </a:r>
        </a:p>
        <a:p>
          <a:pPr algn="l" rtl="1">
            <a:defRPr sz="1000"/>
          </a:pPr>
          <a:endParaRPr lang="ru-RU" sz="1000" b="0" i="0" strike="noStrike">
            <a:solidFill>
              <a:srgbClr val="000000"/>
            </a:solidFill>
            <a:latin typeface="Arial Cyr"/>
          </a:endParaRP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50</xdr:row>
      <xdr:rowOff>102052</xdr:rowOff>
    </xdr:from>
    <xdr:to>
      <xdr:col>7</xdr:col>
      <xdr:colOff>0</xdr:colOff>
      <xdr:row>52</xdr:row>
      <xdr:rowOff>128206</xdr:rowOff>
    </xdr:to>
    <xdr:sp macro="" textlink="">
      <xdr:nvSpPr>
        <xdr:cNvPr id="54277" name="Text Box 5"/>
        <xdr:cNvSpPr txBox="1">
          <a:spLocks noChangeArrowheads="1"/>
        </xdr:cNvSpPr>
      </xdr:nvSpPr>
      <xdr:spPr bwMode="auto">
        <a:xfrm>
          <a:off x="180975" y="12344400"/>
          <a:ext cx="8534400" cy="3714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* Условия размещения баннеров нестандартных форматов, а также товарных категорий, регулируемых законом о рекламе, необходимо предварительно согласовывать с Вашим клиентским менеджером.</a:t>
          </a:r>
        </a:p>
        <a:p>
          <a:pPr algn="l" rtl="1">
            <a:defRPr sz="1000"/>
          </a:pPr>
          <a:endParaRPr lang="ru-RU" sz="1000" b="0" i="0" strike="noStrike">
            <a:solidFill>
              <a:srgbClr val="000000"/>
            </a:solidFill>
            <a:latin typeface="Arial Cyr"/>
          </a:endParaRP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45</xdr:row>
      <xdr:rowOff>31298</xdr:rowOff>
    </xdr:from>
    <xdr:to>
      <xdr:col>7</xdr:col>
      <xdr:colOff>623500</xdr:colOff>
      <xdr:row>47</xdr:row>
      <xdr:rowOff>98356</xdr:rowOff>
    </xdr:to>
    <xdr:sp macro="" textlink="">
      <xdr:nvSpPr>
        <xdr:cNvPr id="56323" name="Text Box 3"/>
        <xdr:cNvSpPr txBox="1">
          <a:spLocks noChangeArrowheads="1"/>
        </xdr:cNvSpPr>
      </xdr:nvSpPr>
      <xdr:spPr bwMode="auto">
        <a:xfrm>
          <a:off x="180975" y="13763625"/>
          <a:ext cx="8534400" cy="3714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* Условия размещения баннеров нестандартных форматов, а также товарных категорий, регулируемых законом о рекламе, необходимо предварительно согласовывать с Вашим клиентским менеджером.</a:t>
          </a:r>
        </a:p>
        <a:p>
          <a:pPr algn="l" rtl="1">
            <a:defRPr sz="1000"/>
          </a:pPr>
          <a:endParaRPr lang="ru-RU" sz="1000" b="0" i="0" strike="noStrike">
            <a:solidFill>
              <a:srgbClr val="000000"/>
            </a:solidFill>
            <a:latin typeface="Arial Cyr"/>
          </a:endParaRP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45</xdr:row>
      <xdr:rowOff>53067</xdr:rowOff>
    </xdr:from>
    <xdr:to>
      <xdr:col>7</xdr:col>
      <xdr:colOff>633335</xdr:colOff>
      <xdr:row>47</xdr:row>
      <xdr:rowOff>100926</xdr:rowOff>
    </xdr:to>
    <xdr:sp macro="" textlink="">
      <xdr:nvSpPr>
        <xdr:cNvPr id="56323" name="Text Box 3"/>
        <xdr:cNvSpPr txBox="1">
          <a:spLocks noChangeArrowheads="1"/>
        </xdr:cNvSpPr>
      </xdr:nvSpPr>
      <xdr:spPr bwMode="auto">
        <a:xfrm>
          <a:off x="180975" y="13763625"/>
          <a:ext cx="8534400" cy="3714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* Условия размещения баннеров нестандартных форматов, а также товарных категорий, регулируемых законом о рекламе, необходимо предварительно согласовывать с Вашим клиентским менеджером.</a:t>
          </a:r>
        </a:p>
        <a:p>
          <a:pPr algn="l" rtl="1">
            <a:defRPr sz="1000"/>
          </a:pPr>
          <a:endParaRPr lang="ru-RU" sz="1000" b="0" i="0" strike="noStrike">
            <a:solidFill>
              <a:srgbClr val="000000"/>
            </a:solidFill>
            <a:latin typeface="Arial Cyr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714380</xdr:colOff>
      <xdr:row>0</xdr:row>
      <xdr:rowOff>0</xdr:rowOff>
    </xdr:from>
    <xdr:to>
      <xdr:col>6</xdr:col>
      <xdr:colOff>805849</xdr:colOff>
      <xdr:row>4</xdr:row>
      <xdr:rowOff>202356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84224" y="0"/>
          <a:ext cx="1258281" cy="1214387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42</xdr:row>
      <xdr:rowOff>53067</xdr:rowOff>
    </xdr:from>
    <xdr:to>
      <xdr:col>7</xdr:col>
      <xdr:colOff>633335</xdr:colOff>
      <xdr:row>44</xdr:row>
      <xdr:rowOff>100926</xdr:rowOff>
    </xdr:to>
    <xdr:sp macro="" textlink="">
      <xdr:nvSpPr>
        <xdr:cNvPr id="2" name="Text Box 3"/>
        <xdr:cNvSpPr txBox="1">
          <a:spLocks noChangeArrowheads="1"/>
        </xdr:cNvSpPr>
      </xdr:nvSpPr>
      <xdr:spPr bwMode="auto">
        <a:xfrm>
          <a:off x="171450" y="9416142"/>
          <a:ext cx="10834610" cy="371709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* Условия размещения баннеров нестандартных форматов, а также товарных категорий, регулируемых законом о рекламе, необходимо предварительно согласовывать с Вашим клиентским менеджером.</a:t>
          </a:r>
        </a:p>
        <a:p>
          <a:pPr algn="l" rtl="1">
            <a:defRPr sz="1000"/>
          </a:pPr>
          <a:endParaRPr lang="ru-RU" sz="1000" b="0" i="0" strike="noStrike">
            <a:solidFill>
              <a:srgbClr val="000000"/>
            </a:solidFill>
            <a:latin typeface="Arial Cyr"/>
          </a:endParaRPr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45</xdr:row>
      <xdr:rowOff>91168</xdr:rowOff>
    </xdr:from>
    <xdr:to>
      <xdr:col>7</xdr:col>
      <xdr:colOff>0</xdr:colOff>
      <xdr:row>47</xdr:row>
      <xdr:rowOff>137570</xdr:rowOff>
    </xdr:to>
    <xdr:sp macro="" textlink="">
      <xdr:nvSpPr>
        <xdr:cNvPr id="61441" name="Text Box 1"/>
        <xdr:cNvSpPr txBox="1">
          <a:spLocks noChangeArrowheads="1"/>
        </xdr:cNvSpPr>
      </xdr:nvSpPr>
      <xdr:spPr bwMode="auto">
        <a:xfrm>
          <a:off x="180975" y="10887075"/>
          <a:ext cx="8534400" cy="3714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* Условия размещения баннеров нестандартных форматов, а также товарных категорий, регулируемых законом о рекламе, необходимо предварительно согласовывать с Вашим клиентским менеджером.</a:t>
          </a:r>
        </a:p>
        <a:p>
          <a:pPr algn="l" rtl="1">
            <a:defRPr sz="1000"/>
          </a:pPr>
          <a:endParaRPr lang="ru-RU" sz="1000" b="0" i="0" strike="noStrike">
            <a:solidFill>
              <a:srgbClr val="000000"/>
            </a:solidFill>
            <a:latin typeface="Arial Cyr"/>
          </a:endParaRPr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58</xdr:row>
      <xdr:rowOff>78921</xdr:rowOff>
    </xdr:from>
    <xdr:to>
      <xdr:col>7</xdr:col>
      <xdr:colOff>0</xdr:colOff>
      <xdr:row>60</xdr:row>
      <xdr:rowOff>126547</xdr:rowOff>
    </xdr:to>
    <xdr:sp macro="" textlink="">
      <xdr:nvSpPr>
        <xdr:cNvPr id="53252" name="Text Box 4"/>
        <xdr:cNvSpPr txBox="1">
          <a:spLocks noChangeArrowheads="1"/>
        </xdr:cNvSpPr>
      </xdr:nvSpPr>
      <xdr:spPr bwMode="auto">
        <a:xfrm>
          <a:off x="180975" y="11049000"/>
          <a:ext cx="8534400" cy="3714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* Условия размещения баннеров нестандартных форматов, а также товарных категорий, регулируемых законом о рекламе, необходимо предварительно согласовывать с Вашим клиентским менеджером.</a:t>
          </a:r>
        </a:p>
        <a:p>
          <a:pPr algn="l" rtl="1">
            <a:defRPr sz="1000"/>
          </a:pPr>
          <a:endParaRPr lang="ru-RU" sz="1000" b="0" i="0" strike="noStrike">
            <a:solidFill>
              <a:srgbClr val="000000"/>
            </a:solidFill>
            <a:latin typeface="Arial Cyr"/>
          </a:endParaRPr>
        </a:p>
      </xdr:txBody>
    </xdr: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56</xdr:row>
      <xdr:rowOff>72120</xdr:rowOff>
    </xdr:from>
    <xdr:to>
      <xdr:col>6</xdr:col>
      <xdr:colOff>314325</xdr:colOff>
      <xdr:row>58</xdr:row>
      <xdr:rowOff>138931</xdr:rowOff>
    </xdr:to>
    <xdr:sp macro="" textlink="">
      <xdr:nvSpPr>
        <xdr:cNvPr id="2" name="Text Box 12"/>
        <xdr:cNvSpPr txBox="1">
          <a:spLocks noChangeArrowheads="1"/>
        </xdr:cNvSpPr>
      </xdr:nvSpPr>
      <xdr:spPr bwMode="auto">
        <a:xfrm>
          <a:off x="190500" y="10159095"/>
          <a:ext cx="9448800" cy="390661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* Условия размещения баннеров нестандартных форматов, а также товарных категорий, регулируемых законом о рекламе, необходимо предварительно согласовывать с Вашим клиентским менеджером.</a:t>
          </a:r>
        </a:p>
        <a:p>
          <a:pPr algn="l" rtl="1">
            <a:defRPr sz="1000"/>
          </a:pPr>
          <a:endParaRPr lang="ru-RU" sz="1000" b="0" i="0" strike="noStrike">
            <a:solidFill>
              <a:srgbClr val="000000"/>
            </a:solidFill>
            <a:latin typeface="Arial Cyr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150</xdr:row>
      <xdr:rowOff>72120</xdr:rowOff>
    </xdr:from>
    <xdr:to>
      <xdr:col>6</xdr:col>
      <xdr:colOff>314325</xdr:colOff>
      <xdr:row>152</xdr:row>
      <xdr:rowOff>138931</xdr:rowOff>
    </xdr:to>
    <xdr:sp macro="" textlink="">
      <xdr:nvSpPr>
        <xdr:cNvPr id="39948" name="Text Box 12"/>
        <xdr:cNvSpPr txBox="1">
          <a:spLocks noChangeArrowheads="1"/>
        </xdr:cNvSpPr>
      </xdr:nvSpPr>
      <xdr:spPr bwMode="auto">
        <a:xfrm>
          <a:off x="180975" y="12334875"/>
          <a:ext cx="8534400" cy="3714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* Условия размещения баннеров нестандартных форматов, а также товарных категорий, регулируемых законом о рекламе, необходимо предварительно согласовывать с Вашим клиентским менеджером.</a:t>
          </a:r>
        </a:p>
        <a:p>
          <a:pPr algn="l" rtl="1">
            <a:defRPr sz="1000"/>
          </a:pPr>
          <a:endParaRPr lang="ru-RU" sz="1000" b="0" i="0" strike="noStrike">
            <a:solidFill>
              <a:srgbClr val="000000"/>
            </a:solidFill>
            <a:latin typeface="Arial Cyr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48</xdr:row>
      <xdr:rowOff>72120</xdr:rowOff>
    </xdr:from>
    <xdr:to>
      <xdr:col>6</xdr:col>
      <xdr:colOff>314325</xdr:colOff>
      <xdr:row>50</xdr:row>
      <xdr:rowOff>138931</xdr:rowOff>
    </xdr:to>
    <xdr:sp macro="" textlink="">
      <xdr:nvSpPr>
        <xdr:cNvPr id="2" name="Text Box 12"/>
        <xdr:cNvSpPr txBox="1">
          <a:spLocks noChangeArrowheads="1"/>
        </xdr:cNvSpPr>
      </xdr:nvSpPr>
      <xdr:spPr bwMode="auto">
        <a:xfrm>
          <a:off x="190500" y="41067720"/>
          <a:ext cx="9448800" cy="390661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* Условия размещения баннеров нестандартных форматов, а также товарных категорий, регулируемых законом о рекламе, необходимо предварительно согласовывать с Вашим клиентским менеджером.</a:t>
          </a:r>
        </a:p>
        <a:p>
          <a:pPr algn="l" rtl="1">
            <a:defRPr sz="1000"/>
          </a:pPr>
          <a:endParaRPr lang="ru-RU" sz="1000" b="0" i="0" strike="noStrike">
            <a:solidFill>
              <a:srgbClr val="000000"/>
            </a:solidFill>
            <a:latin typeface="Arial Cyr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42</xdr:row>
      <xdr:rowOff>72120</xdr:rowOff>
    </xdr:from>
    <xdr:to>
      <xdr:col>6</xdr:col>
      <xdr:colOff>314325</xdr:colOff>
      <xdr:row>44</xdr:row>
      <xdr:rowOff>138931</xdr:rowOff>
    </xdr:to>
    <xdr:sp macro="" textlink="">
      <xdr:nvSpPr>
        <xdr:cNvPr id="2" name="Text Box 12"/>
        <xdr:cNvSpPr txBox="1">
          <a:spLocks noChangeArrowheads="1"/>
        </xdr:cNvSpPr>
      </xdr:nvSpPr>
      <xdr:spPr bwMode="auto">
        <a:xfrm>
          <a:off x="190500" y="13854795"/>
          <a:ext cx="9448800" cy="390661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* Условия размещения баннеров нестандартных форматов, а также товарных категорий, регулируемых законом о рекламе, необходимо предварительно согласовывать с Вашим клиентским менеджером.</a:t>
          </a:r>
        </a:p>
        <a:p>
          <a:pPr algn="l" rtl="1">
            <a:defRPr sz="1000"/>
          </a:pPr>
          <a:endParaRPr lang="ru-RU" sz="1000" b="0" i="0" strike="noStrike">
            <a:solidFill>
              <a:srgbClr val="000000"/>
            </a:solidFill>
            <a:latin typeface="Arial Cyr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46</xdr:row>
      <xdr:rowOff>155120</xdr:rowOff>
    </xdr:from>
    <xdr:to>
      <xdr:col>6</xdr:col>
      <xdr:colOff>95250</xdr:colOff>
      <xdr:row>49</xdr:row>
      <xdr:rowOff>34843</xdr:rowOff>
    </xdr:to>
    <xdr:sp macro="" textlink="">
      <xdr:nvSpPr>
        <xdr:cNvPr id="38929" name="Text Box 17"/>
        <xdr:cNvSpPr txBox="1">
          <a:spLocks noChangeArrowheads="1"/>
        </xdr:cNvSpPr>
      </xdr:nvSpPr>
      <xdr:spPr bwMode="auto">
        <a:xfrm>
          <a:off x="180975" y="12020550"/>
          <a:ext cx="8534400" cy="3714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* Условия размещения баннеров нестандартных форматов, а также товарных категорий, регулируемых законом о рекламе, необходимо предварительно согласовывать с Вашим клиентским менеджером.</a:t>
          </a:r>
        </a:p>
        <a:p>
          <a:pPr algn="l" rtl="1">
            <a:defRPr sz="1000"/>
          </a:pPr>
          <a:endParaRPr lang="ru-RU" sz="1000" b="0" i="0" strike="noStrike">
            <a:solidFill>
              <a:srgbClr val="000000"/>
            </a:solidFill>
            <a:latin typeface="Arial Cyr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63</xdr:row>
      <xdr:rowOff>68037</xdr:rowOff>
    </xdr:from>
    <xdr:to>
      <xdr:col>6</xdr:col>
      <xdr:colOff>409575</xdr:colOff>
      <xdr:row>65</xdr:row>
      <xdr:rowOff>133352</xdr:rowOff>
    </xdr:to>
    <xdr:sp macro="" textlink="">
      <xdr:nvSpPr>
        <xdr:cNvPr id="40969" name="Text Box 9"/>
        <xdr:cNvSpPr txBox="1">
          <a:spLocks noChangeArrowheads="1"/>
        </xdr:cNvSpPr>
      </xdr:nvSpPr>
      <xdr:spPr bwMode="auto">
        <a:xfrm>
          <a:off x="180975" y="11049000"/>
          <a:ext cx="8534400" cy="3714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* Условия размещения баннеров нестандартных форматов, а также товарных категорий, регулируемых законом о рекламе, необходимо предварительно согласовывать с Вашим клиентским менеджером.</a:t>
          </a:r>
        </a:p>
        <a:p>
          <a:pPr algn="l" rtl="1">
            <a:defRPr sz="1000"/>
          </a:pPr>
          <a:endParaRPr lang="ru-RU" sz="1000" b="0" i="0" strike="noStrike">
            <a:solidFill>
              <a:srgbClr val="000000"/>
            </a:solidFill>
            <a:latin typeface="Arial Cyr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76200</xdr:colOff>
          <xdr:row>0</xdr:row>
          <xdr:rowOff>0</xdr:rowOff>
        </xdr:from>
        <xdr:to>
          <xdr:col>4</xdr:col>
          <xdr:colOff>790575</xdr:colOff>
          <xdr:row>0</xdr:row>
          <xdr:rowOff>0</xdr:rowOff>
        </xdr:to>
        <xdr:sp macro="" textlink="">
          <xdr:nvSpPr>
            <xdr:cNvPr id="40961" name="Button 1" hidden="1">
              <a:extLst>
                <a:ext uri="{63B3BB69-23CF-44E3-9099-C40C66FF867C}">
                  <a14:compatExt spid="_x0000_s409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2860" rIns="36576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Verdana"/>
                  <a:ea typeface="Verdana"/>
                  <a:cs typeface="Verdana"/>
                </a:rPr>
                <a:t>СПЛИТ</a:t>
              </a:r>
              <a:endParaRPr lang="ru-RU"/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76200</xdr:colOff>
          <xdr:row>0</xdr:row>
          <xdr:rowOff>0</xdr:rowOff>
        </xdr:from>
        <xdr:to>
          <xdr:col>4</xdr:col>
          <xdr:colOff>790575</xdr:colOff>
          <xdr:row>0</xdr:row>
          <xdr:rowOff>0</xdr:rowOff>
        </xdr:to>
        <xdr:sp macro="" textlink="">
          <xdr:nvSpPr>
            <xdr:cNvPr id="40962" name="Button 2" hidden="1">
              <a:extLst>
                <a:ext uri="{63B3BB69-23CF-44E3-9099-C40C66FF867C}">
                  <a14:compatExt spid="_x0000_s409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2860" rIns="36576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Verdana"/>
                  <a:ea typeface="Verdana"/>
                  <a:cs typeface="Verdana"/>
                </a:rPr>
                <a:t>ПРАЙС-ЛИСТ</a:t>
              </a:r>
              <a:endParaRPr lang="ru-RU"/>
            </a:p>
          </xdr:txBody>
        </xdr:sp>
        <xdr:clientData fPrintsWithSheet="0"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31</xdr:row>
      <xdr:rowOff>117021</xdr:rowOff>
    </xdr:from>
    <xdr:to>
      <xdr:col>7</xdr:col>
      <xdr:colOff>0</xdr:colOff>
      <xdr:row>34</xdr:row>
      <xdr:rowOff>22216</xdr:rowOff>
    </xdr:to>
    <xdr:sp macro="" textlink="">
      <xdr:nvSpPr>
        <xdr:cNvPr id="46088" name="Text Box 8"/>
        <xdr:cNvSpPr txBox="1">
          <a:spLocks noChangeArrowheads="1"/>
        </xdr:cNvSpPr>
      </xdr:nvSpPr>
      <xdr:spPr bwMode="auto">
        <a:xfrm>
          <a:off x="180975" y="12992100"/>
          <a:ext cx="8534400" cy="3714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* Условия размещения баннеров нестандартных форматов, а также товарных категорий, регулируемых законом о рекламе, необходимо предварительно согласовывать с Вашим клиентским менеджером.</a:t>
          </a:r>
        </a:p>
        <a:p>
          <a:pPr algn="l" rtl="1">
            <a:defRPr sz="1000"/>
          </a:pPr>
          <a:endParaRPr lang="ru-RU" sz="1000" b="0" i="0" strike="noStrike">
            <a:solidFill>
              <a:srgbClr val="000000"/>
            </a:solidFill>
            <a:latin typeface="Arial Cyr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Relationship Id="rId5" Type="http://schemas.openxmlformats.org/officeDocument/2006/relationships/ctrlProp" Target="../ctrlProps/ctrlProp9.xml"/><Relationship Id="rId4" Type="http://schemas.openxmlformats.org/officeDocument/2006/relationships/ctrlProp" Target="../ctrlProps/ctrlProp8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7.xml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://advertising.yandex.ru/requirement/media/regulations.xml" TargetMode="External"/><Relationship Id="rId2" Type="http://schemas.openxmlformats.org/officeDocument/2006/relationships/hyperlink" Target="http://advertising.yandex.ru/requirement/media/general.xml" TargetMode="External"/><Relationship Id="rId1" Type="http://schemas.openxmlformats.org/officeDocument/2006/relationships/hyperlink" Target="http://advertising.yandex.ru/price/" TargetMode="External"/><Relationship Id="rId5" Type="http://schemas.openxmlformats.org/officeDocument/2006/relationships/drawing" Target="../drawings/drawing4.xml"/><Relationship Id="rId4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://advertising.yandex.ru/requirement/media/regulations.xml" TargetMode="External"/><Relationship Id="rId1" Type="http://schemas.openxmlformats.org/officeDocument/2006/relationships/hyperlink" Target="http://advertising.yandex.ru/requirement/media/general.xml" TargetMode="External"/><Relationship Id="rId4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vkontakte.ru/ads?act=office_help&amp;terms=undefine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3" enableFormatConditionsCalculation="0">
    <tabColor theme="9" tint="-0.249977111117893"/>
    <pageSetUpPr fitToPage="1"/>
  </sheetPr>
  <dimension ref="A2:H55"/>
  <sheetViews>
    <sheetView showGridLines="0" tabSelected="1" zoomScale="80" zoomScaleNormal="80" workbookViewId="0"/>
  </sheetViews>
  <sheetFormatPr defaultRowHeight="11.25" x14ac:dyDescent="0.2"/>
  <cols>
    <col min="1" max="1" width="2.28515625" style="481" customWidth="1"/>
    <col min="2" max="2" width="41.5703125" style="481" customWidth="1"/>
    <col min="3" max="3" width="33.28515625" style="481" customWidth="1"/>
    <col min="4" max="5" width="20" style="481" customWidth="1"/>
    <col min="6" max="6" width="14.7109375" style="481" customWidth="1"/>
    <col min="7" max="7" width="14.140625" style="481" hidden="1" customWidth="1"/>
    <col min="8" max="8" width="22.42578125" style="481" customWidth="1"/>
    <col min="9" max="16384" width="9.140625" style="481"/>
  </cols>
  <sheetData>
    <row r="2" spans="1:8" ht="44.25" x14ac:dyDescent="0.2">
      <c r="A2" s="479"/>
      <c r="B2" s="480" t="s">
        <v>614</v>
      </c>
    </row>
    <row r="3" spans="1:8" x14ac:dyDescent="0.2">
      <c r="B3" s="482" t="s">
        <v>950</v>
      </c>
      <c r="G3" s="483"/>
    </row>
    <row r="5" spans="1:8" s="486" customFormat="1" ht="25.5" x14ac:dyDescent="0.15">
      <c r="A5" s="484"/>
      <c r="B5" s="485" t="s">
        <v>248</v>
      </c>
      <c r="C5" s="519" t="s">
        <v>352</v>
      </c>
      <c r="E5" s="487" t="s">
        <v>294</v>
      </c>
    </row>
    <row r="6" spans="1:8" s="486" customFormat="1" ht="13.5" customHeight="1" x14ac:dyDescent="0.2">
      <c r="B6" s="488"/>
      <c r="C6" s="489"/>
    </row>
    <row r="7" spans="1:8" s="486" customFormat="1" ht="25.5" customHeight="1" x14ac:dyDescent="0.2">
      <c r="A7" s="484"/>
      <c r="B7" s="490" t="s">
        <v>249</v>
      </c>
      <c r="C7" s="520" t="s">
        <v>349</v>
      </c>
      <c r="E7" s="491" t="s">
        <v>299</v>
      </c>
      <c r="F7" s="492"/>
      <c r="G7" s="493"/>
    </row>
    <row r="8" spans="1:8" s="486" customFormat="1" ht="25.5" x14ac:dyDescent="0.2">
      <c r="A8" s="484"/>
      <c r="B8" s="494" t="s">
        <v>250</v>
      </c>
      <c r="C8" s="521" t="s">
        <v>100</v>
      </c>
      <c r="E8" s="495" t="s">
        <v>328</v>
      </c>
      <c r="F8" s="492"/>
      <c r="G8" s="493"/>
    </row>
    <row r="9" spans="1:8" s="486" customFormat="1" ht="25.5" x14ac:dyDescent="0.2">
      <c r="A9" s="484"/>
      <c r="B9" s="494" t="s">
        <v>251</v>
      </c>
      <c r="C9" s="521" t="s">
        <v>92</v>
      </c>
      <c r="E9" s="496"/>
      <c r="F9" s="492"/>
    </row>
    <row r="10" spans="1:8" s="486" customFormat="1" ht="25.5" x14ac:dyDescent="0.2">
      <c r="A10" s="484"/>
      <c r="B10" s="494" t="s">
        <v>252</v>
      </c>
      <c r="C10" s="522"/>
      <c r="E10" s="497" t="s">
        <v>336</v>
      </c>
    </row>
    <row r="11" spans="1:8" s="486" customFormat="1" ht="25.5" customHeight="1" x14ac:dyDescent="0.2">
      <c r="A11" s="484"/>
      <c r="B11" s="498" t="s">
        <v>253</v>
      </c>
      <c r="C11" s="523" t="b">
        <f>monthError</f>
        <v>0</v>
      </c>
      <c r="E11" s="882" t="s">
        <v>335</v>
      </c>
      <c r="F11" s="882"/>
    </row>
    <row r="12" spans="1:8" s="486" customFormat="1" ht="12.75" customHeight="1" x14ac:dyDescent="0.2">
      <c r="B12" s="488"/>
      <c r="C12" s="499"/>
      <c r="E12" s="882" t="s">
        <v>332</v>
      </c>
      <c r="F12" s="882"/>
    </row>
    <row r="13" spans="1:8" ht="25.5" x14ac:dyDescent="0.2">
      <c r="A13" s="500"/>
      <c r="B13" s="490" t="s">
        <v>153</v>
      </c>
      <c r="C13" s="524">
        <v>0</v>
      </c>
      <c r="E13" s="882"/>
      <c r="F13" s="882"/>
    </row>
    <row r="14" spans="1:8" s="486" customFormat="1" ht="25.5" customHeight="1" x14ac:dyDescent="0.2">
      <c r="A14" s="500"/>
      <c r="B14" s="494" t="s">
        <v>106</v>
      </c>
      <c r="C14" s="501">
        <f>discAgency</f>
        <v>0</v>
      </c>
      <c r="E14" s="882" t="s">
        <v>333</v>
      </c>
      <c r="F14" s="882"/>
    </row>
    <row r="15" spans="1:8" s="486" customFormat="1" ht="25.5" x14ac:dyDescent="0.2">
      <c r="A15" s="484"/>
      <c r="B15" s="494" t="s">
        <v>154</v>
      </c>
      <c r="C15" s="501">
        <f>discReachX</f>
        <v>0</v>
      </c>
      <c r="E15" s="882" t="s">
        <v>334</v>
      </c>
      <c r="F15" s="882"/>
    </row>
    <row r="16" spans="1:8" s="486" customFormat="1" ht="25.5" x14ac:dyDescent="0.2">
      <c r="A16" s="484"/>
      <c r="B16" s="498" t="s">
        <v>337</v>
      </c>
      <c r="C16" s="502">
        <f>extraDelayX</f>
        <v>0</v>
      </c>
      <c r="D16" s="880" t="str">
        <f>IF(fixDelayX,"Наценка не начисляется в случае предоплаты или оплаты размещения не позднее 25 числа месяца оказания услуг","")</f>
        <v/>
      </c>
      <c r="E16" s="881"/>
      <c r="F16" s="881"/>
      <c r="H16" s="503"/>
    </row>
    <row r="17" spans="1:8" ht="12.75" x14ac:dyDescent="0.2">
      <c r="A17" s="486"/>
      <c r="B17" s="488"/>
      <c r="C17" s="499"/>
      <c r="D17" s="492"/>
      <c r="E17" s="492"/>
      <c r="H17" s="503"/>
    </row>
    <row r="18" spans="1:8" ht="25.5" customHeight="1" x14ac:dyDescent="0.2">
      <c r="A18" s="484"/>
      <c r="B18" s="485" t="s">
        <v>258</v>
      </c>
      <c r="C18" s="641">
        <f ca="1">$C$53</f>
        <v>0</v>
      </c>
      <c r="D18" s="492"/>
      <c r="E18" s="492"/>
      <c r="H18" s="503"/>
    </row>
    <row r="19" spans="1:8" x14ac:dyDescent="0.2">
      <c r="D19" s="504"/>
      <c r="E19" s="504"/>
    </row>
    <row r="20" spans="1:8" ht="14.25" x14ac:dyDescent="0.2">
      <c r="B20" s="505" t="s">
        <v>245</v>
      </c>
      <c r="D20" s="504"/>
      <c r="E20" s="504"/>
    </row>
    <row r="21" spans="1:8" s="507" customFormat="1" x14ac:dyDescent="0.2">
      <c r="A21" s="481"/>
      <c r="B21" s="506"/>
      <c r="D21" s="504"/>
      <c r="E21" s="504"/>
    </row>
    <row r="22" spans="1:8" ht="34.5" x14ac:dyDescent="0.2">
      <c r="A22" s="508"/>
      <c r="B22" s="509" t="s">
        <v>255</v>
      </c>
      <c r="C22" s="510" t="s">
        <v>254</v>
      </c>
      <c r="D22" s="511" t="s">
        <v>259</v>
      </c>
      <c r="E22" s="510" t="s">
        <v>256</v>
      </c>
      <c r="G22" s="510" t="s">
        <v>257</v>
      </c>
    </row>
    <row r="23" spans="1:8" s="668" customFormat="1" ht="15" x14ac:dyDescent="0.2">
      <c r="A23" s="667"/>
      <c r="B23" s="878" t="str">
        <f t="shared" ref="B23:B52" si="0">INDEX(indSiteX,ROW()-ROW($B$22)+1)</f>
        <v>Yandex.ru</v>
      </c>
      <c r="C23" s="877"/>
      <c r="D23" s="683">
        <f t="shared" ref="D23:D52" ca="1" si="1">IF($C$53&gt;0,$C23/$C$53,0)</f>
        <v>0</v>
      </c>
      <c r="E23" s="684">
        <f t="shared" ref="E23:E52" si="2">INDEX(indDiscX,ROW()-ROW($B$22)+1)</f>
        <v>0</v>
      </c>
      <c r="G23" s="669"/>
    </row>
    <row r="24" spans="1:8" s="486" customFormat="1" ht="15" x14ac:dyDescent="0.2">
      <c r="A24" s="512"/>
      <c r="B24" s="876" t="str">
        <f t="shared" si="0"/>
        <v>ЯЗНАЮ</v>
      </c>
      <c r="C24" s="682"/>
      <c r="D24" s="683">
        <f t="shared" ca="1" si="1"/>
        <v>0</v>
      </c>
      <c r="E24" s="684">
        <f t="shared" si="2"/>
        <v>0</v>
      </c>
      <c r="G24" s="513"/>
    </row>
    <row r="25" spans="1:8" s="486" customFormat="1" ht="15" x14ac:dyDescent="0.2">
      <c r="A25" s="512"/>
      <c r="B25" s="514" t="str">
        <f t="shared" si="0"/>
        <v>VK.com</v>
      </c>
      <c r="C25" s="639"/>
      <c r="D25" s="680">
        <f t="shared" ca="1" si="1"/>
        <v>0</v>
      </c>
      <c r="E25" s="681">
        <f t="shared" si="2"/>
        <v>0</v>
      </c>
      <c r="G25" s="513"/>
    </row>
    <row r="26" spans="1:8" s="486" customFormat="1" ht="15" x14ac:dyDescent="0.2">
      <c r="A26" s="512"/>
      <c r="B26" s="514" t="str">
        <f t="shared" si="0"/>
        <v>RBC.ru</v>
      </c>
      <c r="C26" s="639"/>
      <c r="D26" s="680">
        <f t="shared" ca="1" si="1"/>
        <v>0</v>
      </c>
      <c r="E26" s="681">
        <f t="shared" si="2"/>
        <v>0</v>
      </c>
      <c r="G26" s="513"/>
    </row>
    <row r="27" spans="1:8" s="486" customFormat="1" ht="15" x14ac:dyDescent="0.2">
      <c r="A27" s="512"/>
      <c r="B27" s="514" t="str">
        <f t="shared" si="0"/>
        <v>Afisha.ru</v>
      </c>
      <c r="C27" s="639"/>
      <c r="D27" s="680">
        <f t="shared" ca="1" si="1"/>
        <v>0</v>
      </c>
      <c r="E27" s="681">
        <f t="shared" si="2"/>
        <v>0</v>
      </c>
      <c r="G27" s="513"/>
    </row>
    <row r="28" spans="1:8" s="486" customFormat="1" ht="15" x14ac:dyDescent="0.2">
      <c r="A28" s="512"/>
      <c r="B28" s="514" t="str">
        <f t="shared" si="0"/>
        <v>Rusnovosti.ru</v>
      </c>
      <c r="C28" s="639"/>
      <c r="D28" s="680">
        <f t="shared" ca="1" si="1"/>
        <v>0</v>
      </c>
      <c r="E28" s="681">
        <f t="shared" si="2"/>
        <v>0</v>
      </c>
      <c r="G28" s="513"/>
    </row>
    <row r="29" spans="1:8" s="486" customFormat="1" ht="15" x14ac:dyDescent="0.2">
      <c r="A29" s="512"/>
      <c r="B29" s="514" t="str">
        <f t="shared" si="0"/>
        <v>Avito.ru</v>
      </c>
      <c r="C29" s="639"/>
      <c r="D29" s="680">
        <f t="shared" ca="1" si="1"/>
        <v>0</v>
      </c>
      <c r="E29" s="681">
        <f t="shared" si="2"/>
        <v>0</v>
      </c>
      <c r="G29" s="513"/>
    </row>
    <row r="30" spans="1:8" s="486" customFormat="1" ht="15" x14ac:dyDescent="0.2">
      <c r="A30" s="512"/>
      <c r="B30" s="514" t="str">
        <f t="shared" si="0"/>
        <v>Muz-tv.ru</v>
      </c>
      <c r="C30" s="639"/>
      <c r="D30" s="680">
        <f t="shared" ca="1" si="1"/>
        <v>0</v>
      </c>
      <c r="E30" s="681">
        <f t="shared" si="2"/>
        <v>0</v>
      </c>
      <c r="G30" s="513"/>
    </row>
    <row r="31" spans="1:8" s="486" customFormat="1" ht="15" x14ac:dyDescent="0.2">
      <c r="A31" s="512"/>
      <c r="B31" s="514" t="str">
        <f t="shared" si="0"/>
        <v>Motor.ru</v>
      </c>
      <c r="C31" s="639"/>
      <c r="D31" s="680">
        <f t="shared" ca="1" si="1"/>
        <v>0</v>
      </c>
      <c r="E31" s="681">
        <f t="shared" si="2"/>
        <v>0</v>
      </c>
      <c r="G31" s="513"/>
    </row>
    <row r="32" spans="1:8" s="486" customFormat="1" ht="15" x14ac:dyDescent="0.2">
      <c r="A32" s="512"/>
      <c r="B32" s="514" t="str">
        <f t="shared" si="0"/>
        <v>Kommersant.ru</v>
      </c>
      <c r="C32" s="639"/>
      <c r="D32" s="680">
        <f t="shared" ca="1" si="1"/>
        <v>0</v>
      </c>
      <c r="E32" s="681">
        <f t="shared" si="2"/>
        <v>0</v>
      </c>
      <c r="G32" s="513"/>
    </row>
    <row r="33" spans="1:7" s="486" customFormat="1" ht="15" x14ac:dyDescent="0.2">
      <c r="A33" s="512"/>
      <c r="B33" s="514" t="str">
        <f t="shared" si="0"/>
        <v>Newsru.com</v>
      </c>
      <c r="C33" s="639"/>
      <c r="D33" s="680">
        <f t="shared" ca="1" si="1"/>
        <v>0</v>
      </c>
      <c r="E33" s="681">
        <f t="shared" si="2"/>
        <v>0</v>
      </c>
      <c r="G33" s="513"/>
    </row>
    <row r="34" spans="1:7" s="486" customFormat="1" ht="15" x14ac:dyDescent="0.2">
      <c r="A34" s="512"/>
      <c r="B34" s="514" t="str">
        <f t="shared" si="0"/>
        <v>WMJ.ru</v>
      </c>
      <c r="C34" s="639"/>
      <c r="D34" s="680">
        <f t="shared" ca="1" si="1"/>
        <v>0</v>
      </c>
      <c r="E34" s="681">
        <f t="shared" si="2"/>
        <v>0</v>
      </c>
      <c r="G34" s="513"/>
    </row>
    <row r="35" spans="1:7" s="486" customFormat="1" ht="15" x14ac:dyDescent="0.2">
      <c r="A35" s="512"/>
      <c r="B35" s="514" t="str">
        <f t="shared" si="0"/>
        <v>Passion.ru</v>
      </c>
      <c r="C35" s="639"/>
      <c r="D35" s="680">
        <f t="shared" ca="1" si="1"/>
        <v>0</v>
      </c>
      <c r="E35" s="681">
        <f t="shared" si="2"/>
        <v>0</v>
      </c>
      <c r="G35" s="513"/>
    </row>
    <row r="36" spans="1:7" s="486" customFormat="1" ht="15" x14ac:dyDescent="0.2">
      <c r="A36" s="512"/>
      <c r="B36" s="514" t="str">
        <f t="shared" si="0"/>
        <v>Vesti.ru</v>
      </c>
      <c r="C36" s="639"/>
      <c r="D36" s="680">
        <f t="shared" ca="1" si="1"/>
        <v>0</v>
      </c>
      <c r="E36" s="681">
        <f t="shared" si="2"/>
        <v>0</v>
      </c>
      <c r="G36" s="513"/>
    </row>
    <row r="37" spans="1:7" s="486" customFormat="1" ht="15" x14ac:dyDescent="0.2">
      <c r="A37" s="512"/>
      <c r="B37" s="514" t="str">
        <f t="shared" si="0"/>
        <v>RIA.ru</v>
      </c>
      <c r="C37" s="639"/>
      <c r="D37" s="680">
        <f t="shared" ca="1" si="1"/>
        <v>0</v>
      </c>
      <c r="E37" s="681">
        <f t="shared" si="2"/>
        <v>0</v>
      </c>
      <c r="G37" s="513"/>
    </row>
    <row r="38" spans="1:7" s="486" customFormat="1" ht="15" x14ac:dyDescent="0.2">
      <c r="A38" s="512"/>
      <c r="B38" s="514" t="str">
        <f t="shared" si="0"/>
        <v>Inopressa.ru</v>
      </c>
      <c r="C38" s="639"/>
      <c r="D38" s="680">
        <f t="shared" ca="1" si="1"/>
        <v>0</v>
      </c>
      <c r="E38" s="681">
        <f t="shared" si="2"/>
        <v>0</v>
      </c>
      <c r="G38" s="513"/>
    </row>
    <row r="39" spans="1:7" s="486" customFormat="1" ht="15" x14ac:dyDescent="0.2">
      <c r="A39" s="512"/>
      <c r="B39" s="514" t="str">
        <f t="shared" si="0"/>
        <v>Liveinternet.ru</v>
      </c>
      <c r="C39" s="639"/>
      <c r="D39" s="680">
        <f t="shared" ca="1" si="1"/>
        <v>0</v>
      </c>
      <c r="E39" s="681">
        <f t="shared" si="2"/>
        <v>0</v>
      </c>
      <c r="G39" s="513"/>
    </row>
    <row r="40" spans="1:7" s="486" customFormat="1" ht="15" x14ac:dyDescent="0.2">
      <c r="A40" s="512"/>
      <c r="B40" s="514" t="str">
        <f t="shared" si="0"/>
        <v>Sports.ru</v>
      </c>
      <c r="C40" s="639"/>
      <c r="D40" s="680">
        <f t="shared" ca="1" si="1"/>
        <v>0</v>
      </c>
      <c r="E40" s="681">
        <f t="shared" si="2"/>
        <v>0</v>
      </c>
      <c r="G40" s="513"/>
    </row>
    <row r="41" spans="1:7" s="486" customFormat="1" ht="15" x14ac:dyDescent="0.2">
      <c r="A41" s="512"/>
      <c r="B41" s="514" t="str">
        <f t="shared" si="0"/>
        <v>Auto.ru</v>
      </c>
      <c r="C41" s="639"/>
      <c r="D41" s="680">
        <f t="shared" ca="1" si="1"/>
        <v>0</v>
      </c>
      <c r="E41" s="681">
        <f t="shared" si="2"/>
        <v>0</v>
      </c>
      <c r="G41" s="513"/>
    </row>
    <row r="42" spans="1:7" s="486" customFormat="1" ht="15" x14ac:dyDescent="0.2">
      <c r="A42" s="512"/>
      <c r="B42" s="514" t="str">
        <f t="shared" si="0"/>
        <v>3dnews.ru</v>
      </c>
      <c r="C42" s="639"/>
      <c r="D42" s="680">
        <f t="shared" ca="1" si="1"/>
        <v>0</v>
      </c>
      <c r="E42" s="681">
        <f t="shared" si="2"/>
        <v>0</v>
      </c>
      <c r="G42" s="513"/>
    </row>
    <row r="43" spans="1:7" s="486" customFormat="1" ht="15" x14ac:dyDescent="0.2">
      <c r="A43" s="512"/>
      <c r="B43" s="514" t="str">
        <f t="shared" si="0"/>
        <v>Vokrugsveta.ru</v>
      </c>
      <c r="C43" s="639"/>
      <c r="D43" s="680">
        <f t="shared" ca="1" si="1"/>
        <v>0</v>
      </c>
      <c r="E43" s="681">
        <f t="shared" si="2"/>
        <v>0</v>
      </c>
      <c r="G43" s="513"/>
    </row>
    <row r="44" spans="1:7" s="486" customFormat="1" ht="15" x14ac:dyDescent="0.2">
      <c r="A44" s="512"/>
      <c r="B44" s="514" t="str">
        <f t="shared" si="0"/>
        <v>Friday.ru</v>
      </c>
      <c r="C44" s="639"/>
      <c r="D44" s="680">
        <f t="shared" ca="1" si="1"/>
        <v>0</v>
      </c>
      <c r="E44" s="681">
        <f t="shared" si="2"/>
        <v>0</v>
      </c>
      <c r="G44" s="513"/>
    </row>
    <row r="45" spans="1:7" s="486" customFormat="1" ht="15" x14ac:dyDescent="0.2">
      <c r="A45" s="512"/>
      <c r="B45" s="514" t="str">
        <f t="shared" si="0"/>
        <v>101.ru</v>
      </c>
      <c r="C45" s="639"/>
      <c r="D45" s="680">
        <f t="shared" ca="1" si="1"/>
        <v>0</v>
      </c>
      <c r="E45" s="681">
        <f t="shared" si="2"/>
        <v>0</v>
      </c>
      <c r="G45" s="513"/>
    </row>
    <row r="46" spans="1:7" s="486" customFormat="1" ht="15" x14ac:dyDescent="0.2">
      <c r="A46" s="512"/>
      <c r="B46" s="514" t="str">
        <f t="shared" si="0"/>
        <v>GoodHouse.ru</v>
      </c>
      <c r="C46" s="639"/>
      <c r="D46" s="680">
        <f t="shared" ca="1" si="1"/>
        <v>0</v>
      </c>
      <c r="E46" s="681">
        <f t="shared" si="2"/>
        <v>0</v>
      </c>
      <c r="G46" s="513"/>
    </row>
    <row r="47" spans="1:7" s="486" customFormat="1" ht="15" x14ac:dyDescent="0.2">
      <c r="A47" s="512"/>
      <c r="B47" s="514" t="str">
        <f t="shared" si="0"/>
        <v>Medportal.ru</v>
      </c>
      <c r="C47" s="639"/>
      <c r="D47" s="680">
        <f t="shared" ca="1" si="1"/>
        <v>0</v>
      </c>
      <c r="E47" s="681">
        <f t="shared" si="2"/>
        <v>0</v>
      </c>
      <c r="G47" s="513"/>
    </row>
    <row r="48" spans="1:7" s="486" customFormat="1" ht="15" x14ac:dyDescent="0.2">
      <c r="A48" s="512"/>
      <c r="B48" s="514" t="str">
        <f t="shared" si="0"/>
        <v>Tvidi.ru</v>
      </c>
      <c r="C48" s="639"/>
      <c r="D48" s="680">
        <f t="shared" ca="1" si="1"/>
        <v>0</v>
      </c>
      <c r="E48" s="681">
        <f t="shared" si="2"/>
        <v>0</v>
      </c>
      <c r="G48" s="513"/>
    </row>
    <row r="49" spans="1:8" s="486" customFormat="1" ht="15" x14ac:dyDescent="0.2">
      <c r="A49" s="512"/>
      <c r="B49" s="514" t="str">
        <f t="shared" si="0"/>
        <v>Disney.ru</v>
      </c>
      <c r="C49" s="639"/>
      <c r="D49" s="680">
        <f t="shared" ca="1" si="1"/>
        <v>0</v>
      </c>
      <c r="E49" s="681">
        <f t="shared" si="2"/>
        <v>0</v>
      </c>
      <c r="G49" s="513"/>
    </row>
    <row r="50" spans="1:8" s="486" customFormat="1" ht="15" x14ac:dyDescent="0.2">
      <c r="A50" s="512"/>
      <c r="B50" s="514" t="str">
        <f t="shared" si="0"/>
        <v>Echo.Msk.ru</v>
      </c>
      <c r="C50" s="639"/>
      <c r="D50" s="680">
        <f t="shared" ca="1" si="1"/>
        <v>0</v>
      </c>
      <c r="E50" s="681">
        <f t="shared" si="2"/>
        <v>0</v>
      </c>
      <c r="G50" s="513"/>
      <c r="H50" s="515"/>
    </row>
    <row r="51" spans="1:8" s="486" customFormat="1" ht="15" x14ac:dyDescent="0.2">
      <c r="A51" s="512"/>
      <c r="B51" s="514" t="str">
        <f t="shared" si="0"/>
        <v>F1News.ru</v>
      </c>
      <c r="C51" s="639"/>
      <c r="D51" s="680">
        <f t="shared" ca="1" si="1"/>
        <v>0</v>
      </c>
      <c r="E51" s="681">
        <f t="shared" si="2"/>
        <v>0</v>
      </c>
      <c r="G51" s="513"/>
      <c r="H51" s="515"/>
    </row>
    <row r="52" spans="1:8" s="486" customFormat="1" ht="15" x14ac:dyDescent="0.2">
      <c r="A52" s="512"/>
      <c r="B52" s="514" t="str">
        <f t="shared" si="0"/>
        <v>Видеосеть</v>
      </c>
      <c r="C52" s="639"/>
      <c r="D52" s="680">
        <f t="shared" ca="1" si="1"/>
        <v>0</v>
      </c>
      <c r="E52" s="681">
        <f t="shared" si="2"/>
        <v>0</v>
      </c>
      <c r="G52" s="516"/>
    </row>
    <row r="53" spans="1:8" s="486" customFormat="1" ht="34.5" x14ac:dyDescent="0.2">
      <c r="A53" s="508"/>
      <c r="B53" s="517" t="s">
        <v>93</v>
      </c>
      <c r="C53" s="640">
        <f ca="1">SUM(OFFSET(indBud,1,0,ROWS(indBud)-2,1))</f>
        <v>0</v>
      </c>
      <c r="D53" s="114">
        <f ca="1">IF(ISERROR($C$53/$C$18),0,$C$53/$C$18)</f>
        <v>0</v>
      </c>
      <c r="E53" s="113">
        <f ca="1">'##'!$J$51</f>
        <v>0</v>
      </c>
      <c r="G53" s="113"/>
    </row>
    <row r="55" spans="1:8" ht="23.25" x14ac:dyDescent="0.2">
      <c r="A55" s="518"/>
      <c r="B55" s="879" t="s">
        <v>348</v>
      </c>
      <c r="C55" s="879"/>
      <c r="D55" s="879"/>
      <c r="E55" s="879"/>
    </row>
  </sheetData>
  <sheetProtection password="CF18" sheet="1" objects="1"/>
  <mergeCells count="6">
    <mergeCell ref="B55:E55"/>
    <mergeCell ref="D16:F16"/>
    <mergeCell ref="E11:F11"/>
    <mergeCell ref="E14:F14"/>
    <mergeCell ref="E15:F15"/>
    <mergeCell ref="E12:F13"/>
  </mergeCells>
  <phoneticPr fontId="2" type="noConversion"/>
  <conditionalFormatting sqref="G23:G43 G45:G50 E45:E50 E23:E43 E52 G52">
    <cfRule type="expression" dxfId="729" priority="57" stopIfTrue="1">
      <formula>NOT(INDEX(linkedAll,ROW()-ROW($D$22)))</formula>
    </cfRule>
    <cfRule type="expression" dxfId="728" priority="58" stopIfTrue="1">
      <formula>INDEX(discMax,ROW()-ROW($D$22))</formula>
    </cfRule>
  </conditionalFormatting>
  <conditionalFormatting sqref="C11">
    <cfRule type="expression" dxfId="727" priority="47">
      <formula>$C$11</formula>
    </cfRule>
  </conditionalFormatting>
  <conditionalFormatting sqref="C13 C45:C50 C23:C43 C52">
    <cfRule type="expression" dxfId="726" priority="45">
      <formula>NOT(OR(ISBLANK(C13),ISNUMBER(C13)))</formula>
    </cfRule>
    <cfRule type="cellIs" dxfId="725" priority="46" operator="greaterThan">
      <formula>0</formula>
    </cfRule>
  </conditionalFormatting>
  <conditionalFormatting sqref="C16">
    <cfRule type="expression" dxfId="724" priority="43">
      <formula>$C$16&lt;&gt;extraDelayX</formula>
    </cfRule>
  </conditionalFormatting>
  <conditionalFormatting sqref="C15">
    <cfRule type="expression" dxfId="723" priority="42">
      <formula>$C$15&lt;&gt;discReachX</formula>
    </cfRule>
  </conditionalFormatting>
  <conditionalFormatting sqref="C14">
    <cfRule type="expression" dxfId="722" priority="41">
      <formula>$C$14&lt;&gt;discAgency</formula>
    </cfRule>
  </conditionalFormatting>
  <conditionalFormatting sqref="E45:E50 E23:E43 E52">
    <cfRule type="expression" dxfId="721" priority="39">
      <formula>E23=INDEX(indDiscMaxX,ROW()-ROW($B$22)+1)</formula>
    </cfRule>
  </conditionalFormatting>
  <conditionalFormatting sqref="D45:E50 D23:E43 D52:E52">
    <cfRule type="cellIs" dxfId="720" priority="38" operator="equal">
      <formula>0</formula>
    </cfRule>
  </conditionalFormatting>
  <conditionalFormatting sqref="C5 C7:C9">
    <cfRule type="expression" dxfId="719" priority="37">
      <formula>LEFT(C5,11)="&lt; Название "</formula>
    </cfRule>
  </conditionalFormatting>
  <conditionalFormatting sqref="C18">
    <cfRule type="expression" dxfId="718" priority="627">
      <formula>$C$18&lt;&gt;$C$53</formula>
    </cfRule>
  </conditionalFormatting>
  <conditionalFormatting sqref="E44 G44">
    <cfRule type="expression" dxfId="717" priority="11" stopIfTrue="1">
      <formula>NOT(INDEX(linkedAll,ROW()-ROW($D$22)))</formula>
    </cfRule>
    <cfRule type="expression" dxfId="716" priority="12" stopIfTrue="1">
      <formula>INDEX(discMax,ROW()-ROW($D$22))</formula>
    </cfRule>
  </conditionalFormatting>
  <conditionalFormatting sqref="C44">
    <cfRule type="expression" dxfId="715" priority="9">
      <formula>NOT(OR(ISBLANK(C44),ISNUMBER(C44)))</formula>
    </cfRule>
    <cfRule type="cellIs" dxfId="714" priority="10" operator="greaterThan">
      <formula>0</formula>
    </cfRule>
  </conditionalFormatting>
  <conditionalFormatting sqref="E44">
    <cfRule type="expression" dxfId="713" priority="8">
      <formula>E44=INDEX(indDiscMaxX,ROW()-ROW($B$22)+1)</formula>
    </cfRule>
  </conditionalFormatting>
  <conditionalFormatting sqref="D44:E44">
    <cfRule type="cellIs" dxfId="712" priority="7" operator="equal">
      <formula>0</formula>
    </cfRule>
  </conditionalFormatting>
  <conditionalFormatting sqref="G51 E51">
    <cfRule type="expression" dxfId="711" priority="5" stopIfTrue="1">
      <formula>NOT(INDEX(linkedAll,ROW()-ROW($D$22)))</formula>
    </cfRule>
    <cfRule type="expression" dxfId="710" priority="6" stopIfTrue="1">
      <formula>INDEX(discMax,ROW()-ROW($D$22))</formula>
    </cfRule>
  </conditionalFormatting>
  <conditionalFormatting sqref="C51">
    <cfRule type="expression" dxfId="709" priority="3">
      <formula>NOT(OR(ISBLANK(C51),ISNUMBER(C51)))</formula>
    </cfRule>
    <cfRule type="cellIs" dxfId="708" priority="4" operator="greaterThan">
      <formula>0</formula>
    </cfRule>
  </conditionalFormatting>
  <conditionalFormatting sqref="E51">
    <cfRule type="expression" dxfId="707" priority="2">
      <formula>E51=INDEX(indDiscMaxX,ROW()-ROW($B$22)+1)</formula>
    </cfRule>
  </conditionalFormatting>
  <conditionalFormatting sqref="D51:E51">
    <cfRule type="cellIs" dxfId="706" priority="1" operator="equal">
      <formula>0</formula>
    </cfRule>
  </conditionalFormatting>
  <dataValidations disablePrompts="1" count="1">
    <dataValidation type="decimal" allowBlank="1" showErrorMessage="1" promptTitle="Общий бюджет (NET)" prompt="Укажите, пожалуйста, общий бюджет (NET, рубли)." sqref="C13">
      <formula1>0.05</formula1>
      <formula2>0.2</formula2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73" orientation="portrait" r:id="rId1"/>
  <headerFooter alignWithMargins="0"/>
  <ignoredErrors>
    <ignoredError sqref="C11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78" r:id="rId4" name="Drop Down 354">
              <controlPr defaultSize="0" autoLine="0" autoPict="0">
                <anchor moveWithCells="1">
                  <from>
                    <xdr:col>2</xdr:col>
                    <xdr:colOff>342900</xdr:colOff>
                    <xdr:row>9</xdr:row>
                    <xdr:rowOff>57150</xdr:rowOff>
                  </from>
                  <to>
                    <xdr:col>2</xdr:col>
                    <xdr:colOff>1847850</xdr:colOff>
                    <xdr:row>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9" r:id="rId5" name="Drop Down 355">
              <controlPr defaultSize="0" autoLine="0" autoPict="0">
                <anchor moveWithCells="1">
                  <from>
                    <xdr:col>2</xdr:col>
                    <xdr:colOff>342900</xdr:colOff>
                    <xdr:row>10</xdr:row>
                    <xdr:rowOff>57150</xdr:rowOff>
                  </from>
                  <to>
                    <xdr:col>2</xdr:col>
                    <xdr:colOff>1847850</xdr:colOff>
                    <xdr:row>10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0" r:id="rId6" name="Check Box 356">
              <controlPr defaultSize="0" autoFill="0" autoLine="0" autoPict="0">
                <anchor moveWithCells="1">
                  <from>
                    <xdr:col>2</xdr:col>
                    <xdr:colOff>57150</xdr:colOff>
                    <xdr:row>14</xdr:row>
                    <xdr:rowOff>57150</xdr:rowOff>
                  </from>
                  <to>
                    <xdr:col>2</xdr:col>
                    <xdr:colOff>409575</xdr:colOff>
                    <xdr:row>14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1" r:id="rId7" name="Check Box 357">
              <controlPr defaultSize="0" autoFill="0" autoLine="0" autoPict="0">
                <anchor moveWithCells="1">
                  <from>
                    <xdr:col>2</xdr:col>
                    <xdr:colOff>57150</xdr:colOff>
                    <xdr:row>15</xdr:row>
                    <xdr:rowOff>57150</xdr:rowOff>
                  </from>
                  <to>
                    <xdr:col>2</xdr:col>
                    <xdr:colOff>409575</xdr:colOff>
                    <xdr:row>15</xdr:row>
                    <xdr:rowOff>276225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92D050"/>
    <pageSetUpPr fitToPage="1"/>
  </sheetPr>
  <dimension ref="A1:K47"/>
  <sheetViews>
    <sheetView showGridLines="0" zoomScale="80" zoomScaleNormal="80" workbookViewId="0"/>
  </sheetViews>
  <sheetFormatPr defaultColWidth="9.140625" defaultRowHeight="12.75" x14ac:dyDescent="0.2"/>
  <cols>
    <col min="1" max="1" width="2.5703125" style="60" customWidth="1"/>
    <col min="2" max="2" width="33" style="60" customWidth="1"/>
    <col min="3" max="3" width="57.140625" style="60" customWidth="1"/>
    <col min="4" max="7" width="15.7109375" style="60" customWidth="1"/>
    <col min="8" max="10" width="15.7109375" style="253" customWidth="1"/>
    <col min="11" max="11" width="43.42578125" style="60" customWidth="1"/>
    <col min="12" max="16384" width="9.140625" style="60"/>
  </cols>
  <sheetData>
    <row r="1" spans="2:11" x14ac:dyDescent="0.2">
      <c r="K1" s="253"/>
    </row>
    <row r="2" spans="2:11" ht="18" x14ac:dyDescent="0.2">
      <c r="B2" s="76" t="s">
        <v>244</v>
      </c>
      <c r="C2" s="12"/>
      <c r="D2" s="574" t="str">
        <f>СПЛИТ!$B$3</f>
        <v>Версия прайс-листа: 23.09.2013</v>
      </c>
    </row>
    <row r="3" spans="2:11" x14ac:dyDescent="0.2">
      <c r="B3" s="3" t="s">
        <v>198</v>
      </c>
      <c r="C3" s="4"/>
    </row>
    <row r="5" spans="2:11" x14ac:dyDescent="0.2">
      <c r="B5" s="6" t="s">
        <v>303</v>
      </c>
      <c r="C5" s="4"/>
      <c r="D5" s="4"/>
      <c r="E5" s="4"/>
    </row>
    <row r="6" spans="2:11" x14ac:dyDescent="0.2">
      <c r="B6" s="328" t="s">
        <v>89</v>
      </c>
      <c r="C6" s="328" t="s">
        <v>286</v>
      </c>
    </row>
    <row r="7" spans="2:11" x14ac:dyDescent="0.2">
      <c r="B7" s="9" t="s">
        <v>79</v>
      </c>
      <c r="C7" s="670">
        <v>0.6</v>
      </c>
      <c r="D7" s="304"/>
    </row>
    <row r="8" spans="2:11" x14ac:dyDescent="0.2">
      <c r="B8" s="10" t="s">
        <v>80</v>
      </c>
      <c r="C8" s="642">
        <v>0.7</v>
      </c>
      <c r="D8" s="304"/>
    </row>
    <row r="9" spans="2:11" x14ac:dyDescent="0.2">
      <c r="B9" s="10" t="s">
        <v>81</v>
      </c>
      <c r="C9" s="286">
        <v>1</v>
      </c>
      <c r="D9" s="304"/>
    </row>
    <row r="10" spans="2:11" x14ac:dyDescent="0.2">
      <c r="B10" s="10" t="s">
        <v>82</v>
      </c>
      <c r="C10" s="642">
        <v>1.1000000000000001</v>
      </c>
      <c r="D10" s="304"/>
    </row>
    <row r="11" spans="2:11" x14ac:dyDescent="0.2">
      <c r="B11" s="10" t="s">
        <v>83</v>
      </c>
      <c r="C11" s="286">
        <v>1</v>
      </c>
      <c r="D11" s="304"/>
    </row>
    <row r="12" spans="2:11" x14ac:dyDescent="0.2">
      <c r="B12" s="10" t="s">
        <v>84</v>
      </c>
      <c r="C12" s="286">
        <v>1</v>
      </c>
      <c r="D12" s="304"/>
    </row>
    <row r="13" spans="2:11" x14ac:dyDescent="0.2">
      <c r="B13" s="10" t="s">
        <v>85</v>
      </c>
      <c r="C13" s="642">
        <v>0.7</v>
      </c>
      <c r="D13" s="304"/>
    </row>
    <row r="14" spans="2:11" x14ac:dyDescent="0.2">
      <c r="B14" s="10" t="s">
        <v>74</v>
      </c>
      <c r="C14" s="642">
        <v>0.7</v>
      </c>
      <c r="D14" s="304"/>
    </row>
    <row r="15" spans="2:11" x14ac:dyDescent="0.2">
      <c r="B15" s="10" t="s">
        <v>75</v>
      </c>
      <c r="C15" s="642">
        <v>1.25</v>
      </c>
      <c r="D15" s="304"/>
    </row>
    <row r="16" spans="2:11" x14ac:dyDescent="0.2">
      <c r="B16" s="10" t="s">
        <v>86</v>
      </c>
      <c r="C16" s="642">
        <v>1.25</v>
      </c>
      <c r="D16" s="304"/>
    </row>
    <row r="17" spans="1:11" x14ac:dyDescent="0.2">
      <c r="B17" s="10" t="s">
        <v>87</v>
      </c>
      <c r="C17" s="642">
        <v>1.25</v>
      </c>
      <c r="D17" s="304"/>
    </row>
    <row r="18" spans="1:11" x14ac:dyDescent="0.2">
      <c r="B18" s="11" t="s">
        <v>88</v>
      </c>
      <c r="C18" s="643">
        <v>1.25</v>
      </c>
      <c r="D18" s="304"/>
    </row>
    <row r="22" spans="1:11" ht="44.25" customHeight="1" x14ac:dyDescent="0.55000000000000004">
      <c r="A22" s="319"/>
      <c r="B22" s="320" t="s">
        <v>278</v>
      </c>
      <c r="C22" s="320" t="s">
        <v>279</v>
      </c>
      <c r="D22" s="320" t="s">
        <v>275</v>
      </c>
      <c r="E22" s="320" t="s">
        <v>280</v>
      </c>
      <c r="F22" s="321" t="s">
        <v>395</v>
      </c>
      <c r="G22" s="320" t="s">
        <v>111</v>
      </c>
      <c r="H22" s="322" t="s">
        <v>282</v>
      </c>
      <c r="I22" s="322" t="s">
        <v>283</v>
      </c>
      <c r="J22" s="322" t="s">
        <v>284</v>
      </c>
      <c r="K22" s="321" t="s">
        <v>285</v>
      </c>
    </row>
    <row r="23" spans="1:11" ht="25.5" x14ac:dyDescent="0.2">
      <c r="B23" s="298" t="s">
        <v>375</v>
      </c>
      <c r="C23" s="288" t="s">
        <v>373</v>
      </c>
      <c r="D23" s="290">
        <v>1500000</v>
      </c>
      <c r="E23" s="289" t="s">
        <v>96</v>
      </c>
      <c r="F23" s="290">
        <v>3000</v>
      </c>
      <c r="G23" s="291">
        <f>D23/F23</f>
        <v>500</v>
      </c>
      <c r="H23" s="296">
        <v>0.25</v>
      </c>
      <c r="I23" s="296" t="s">
        <v>103</v>
      </c>
      <c r="J23" s="296" t="s">
        <v>393</v>
      </c>
      <c r="K23" s="299"/>
    </row>
    <row r="24" spans="1:11" ht="25.5" x14ac:dyDescent="0.2">
      <c r="B24" s="298" t="s">
        <v>375</v>
      </c>
      <c r="C24" s="288" t="s">
        <v>374</v>
      </c>
      <c r="D24" s="290">
        <v>2700000</v>
      </c>
      <c r="E24" s="289" t="s">
        <v>96</v>
      </c>
      <c r="F24" s="290">
        <v>6000</v>
      </c>
      <c r="G24" s="291">
        <f t="shared" ref="G24:G36" si="0">D24/F24</f>
        <v>450</v>
      </c>
      <c r="H24" s="296">
        <v>0.25</v>
      </c>
      <c r="I24" s="296" t="s">
        <v>103</v>
      </c>
      <c r="J24" s="296" t="s">
        <v>393</v>
      </c>
      <c r="K24" s="299"/>
    </row>
    <row r="25" spans="1:11" x14ac:dyDescent="0.2">
      <c r="B25" s="298" t="s">
        <v>376</v>
      </c>
      <c r="C25" s="288" t="s">
        <v>367</v>
      </c>
      <c r="D25" s="290">
        <v>862500</v>
      </c>
      <c r="E25" s="289" t="s">
        <v>96</v>
      </c>
      <c r="F25" s="290">
        <v>1500</v>
      </c>
      <c r="G25" s="291">
        <f t="shared" si="0"/>
        <v>575</v>
      </c>
      <c r="H25" s="296">
        <v>0.25</v>
      </c>
      <c r="I25" s="296" t="s">
        <v>103</v>
      </c>
      <c r="J25" s="296" t="s">
        <v>393</v>
      </c>
      <c r="K25" s="299"/>
    </row>
    <row r="26" spans="1:11" x14ac:dyDescent="0.2">
      <c r="B26" s="298" t="s">
        <v>376</v>
      </c>
      <c r="C26" s="288" t="s">
        <v>368</v>
      </c>
      <c r="D26" s="290">
        <v>1575000</v>
      </c>
      <c r="E26" s="289" t="s">
        <v>96</v>
      </c>
      <c r="F26" s="290">
        <v>3000</v>
      </c>
      <c r="G26" s="291">
        <f t="shared" si="0"/>
        <v>525</v>
      </c>
      <c r="H26" s="296">
        <v>0.25</v>
      </c>
      <c r="I26" s="296" t="s">
        <v>103</v>
      </c>
      <c r="J26" s="296" t="s">
        <v>393</v>
      </c>
      <c r="K26" s="299"/>
    </row>
    <row r="27" spans="1:11" ht="28.5" customHeight="1" x14ac:dyDescent="0.2">
      <c r="B27" s="298" t="s">
        <v>377</v>
      </c>
      <c r="C27" s="288" t="s">
        <v>369</v>
      </c>
      <c r="D27" s="290">
        <v>687500</v>
      </c>
      <c r="E27" s="289" t="s">
        <v>96</v>
      </c>
      <c r="F27" s="290">
        <v>1250</v>
      </c>
      <c r="G27" s="291">
        <f t="shared" si="0"/>
        <v>550</v>
      </c>
      <c r="H27" s="296">
        <v>0.25</v>
      </c>
      <c r="I27" s="296" t="s">
        <v>103</v>
      </c>
      <c r="J27" s="296" t="s">
        <v>393</v>
      </c>
      <c r="K27" s="299"/>
    </row>
    <row r="28" spans="1:11" ht="26.25" customHeight="1" x14ac:dyDescent="0.2">
      <c r="B28" s="298" t="s">
        <v>377</v>
      </c>
      <c r="C28" s="288" t="s">
        <v>370</v>
      </c>
      <c r="D28" s="290">
        <v>1250000</v>
      </c>
      <c r="E28" s="289" t="s">
        <v>96</v>
      </c>
      <c r="F28" s="290">
        <v>2500</v>
      </c>
      <c r="G28" s="291">
        <f t="shared" si="0"/>
        <v>500</v>
      </c>
      <c r="H28" s="296">
        <v>0.25</v>
      </c>
      <c r="I28" s="296" t="s">
        <v>103</v>
      </c>
      <c r="J28" s="296" t="s">
        <v>393</v>
      </c>
      <c r="K28" s="299"/>
    </row>
    <row r="29" spans="1:11" ht="26.25" customHeight="1" x14ac:dyDescent="0.2">
      <c r="B29" s="298" t="s">
        <v>378</v>
      </c>
      <c r="C29" s="288" t="s">
        <v>379</v>
      </c>
      <c r="D29" s="290">
        <v>330000</v>
      </c>
      <c r="E29" s="289" t="s">
        <v>96</v>
      </c>
      <c r="F29" s="290">
        <v>600</v>
      </c>
      <c r="G29" s="291">
        <f t="shared" si="0"/>
        <v>550</v>
      </c>
      <c r="H29" s="296">
        <v>0.25</v>
      </c>
      <c r="I29" s="296" t="s">
        <v>103</v>
      </c>
      <c r="J29" s="296" t="s">
        <v>393</v>
      </c>
      <c r="K29" s="299"/>
    </row>
    <row r="30" spans="1:11" ht="26.25" customHeight="1" x14ac:dyDescent="0.2">
      <c r="B30" s="298" t="s">
        <v>378</v>
      </c>
      <c r="C30" s="288" t="s">
        <v>380</v>
      </c>
      <c r="D30" s="290">
        <v>500000</v>
      </c>
      <c r="E30" s="289" t="s">
        <v>96</v>
      </c>
      <c r="F30" s="290">
        <v>1000</v>
      </c>
      <c r="G30" s="291">
        <f t="shared" si="0"/>
        <v>500</v>
      </c>
      <c r="H30" s="296">
        <v>0.25</v>
      </c>
      <c r="I30" s="296" t="s">
        <v>103</v>
      </c>
      <c r="J30" s="296" t="s">
        <v>393</v>
      </c>
      <c r="K30" s="299"/>
    </row>
    <row r="31" spans="1:11" ht="26.25" customHeight="1" x14ac:dyDescent="0.2">
      <c r="B31" s="298" t="s">
        <v>611</v>
      </c>
      <c r="C31" s="288" t="s">
        <v>612</v>
      </c>
      <c r="D31" s="290">
        <v>562500</v>
      </c>
      <c r="E31" s="289" t="s">
        <v>96</v>
      </c>
      <c r="F31" s="290">
        <v>1250</v>
      </c>
      <c r="G31" s="291">
        <f t="shared" ref="G31" si="1">D31/F31</f>
        <v>450</v>
      </c>
      <c r="H31" s="296">
        <v>0.25</v>
      </c>
      <c r="I31" s="296" t="s">
        <v>103</v>
      </c>
      <c r="J31" s="296" t="s">
        <v>393</v>
      </c>
      <c r="K31" s="299"/>
    </row>
    <row r="32" spans="1:11" ht="26.25" customHeight="1" x14ac:dyDescent="0.2">
      <c r="B32" s="298" t="s">
        <v>611</v>
      </c>
      <c r="C32" s="288" t="s">
        <v>613</v>
      </c>
      <c r="D32" s="290">
        <v>1000000</v>
      </c>
      <c r="E32" s="289" t="s">
        <v>96</v>
      </c>
      <c r="F32" s="290">
        <v>2500</v>
      </c>
      <c r="G32" s="291">
        <f t="shared" ref="G32" si="2">D32/F32</f>
        <v>400</v>
      </c>
      <c r="H32" s="296">
        <v>0.25</v>
      </c>
      <c r="I32" s="296" t="s">
        <v>103</v>
      </c>
      <c r="J32" s="296" t="s">
        <v>393</v>
      </c>
      <c r="K32" s="299"/>
    </row>
    <row r="33" spans="1:11" x14ac:dyDescent="0.2">
      <c r="B33" s="298" t="s">
        <v>366</v>
      </c>
      <c r="C33" s="288" t="s">
        <v>371</v>
      </c>
      <c r="D33" s="290">
        <v>420000</v>
      </c>
      <c r="E33" s="289" t="s">
        <v>96</v>
      </c>
      <c r="F33" s="290">
        <v>800</v>
      </c>
      <c r="G33" s="291">
        <f t="shared" si="0"/>
        <v>525</v>
      </c>
      <c r="H33" s="296">
        <v>0.25</v>
      </c>
      <c r="I33" s="296" t="s">
        <v>103</v>
      </c>
      <c r="J33" s="296" t="s">
        <v>393</v>
      </c>
      <c r="K33" s="299"/>
    </row>
    <row r="34" spans="1:11" x14ac:dyDescent="0.2">
      <c r="B34" s="298" t="s">
        <v>366</v>
      </c>
      <c r="C34" s="288" t="s">
        <v>372</v>
      </c>
      <c r="D34" s="290">
        <v>760000</v>
      </c>
      <c r="E34" s="289" t="s">
        <v>96</v>
      </c>
      <c r="F34" s="290">
        <v>1600</v>
      </c>
      <c r="G34" s="291">
        <f t="shared" ref="G34:G35" si="3">D34/F34</f>
        <v>475</v>
      </c>
      <c r="H34" s="296">
        <v>0.25</v>
      </c>
      <c r="I34" s="296" t="s">
        <v>103</v>
      </c>
      <c r="J34" s="296" t="s">
        <v>393</v>
      </c>
      <c r="K34" s="299" t="s">
        <v>517</v>
      </c>
    </row>
    <row r="35" spans="1:11" ht="38.25" x14ac:dyDescent="0.2">
      <c r="B35" s="298" t="s">
        <v>887</v>
      </c>
      <c r="C35" s="288" t="s">
        <v>888</v>
      </c>
      <c r="D35" s="290">
        <v>1000000</v>
      </c>
      <c r="E35" s="289" t="s">
        <v>96</v>
      </c>
      <c r="F35" s="290">
        <v>2000</v>
      </c>
      <c r="G35" s="291">
        <f t="shared" si="3"/>
        <v>500</v>
      </c>
      <c r="H35" s="296">
        <v>0.25</v>
      </c>
      <c r="I35" s="296" t="s">
        <v>103</v>
      </c>
      <c r="J35" s="296" t="s">
        <v>393</v>
      </c>
      <c r="K35" s="299" t="s">
        <v>889</v>
      </c>
    </row>
    <row r="36" spans="1:11" ht="158.25" customHeight="1" x14ac:dyDescent="0.2">
      <c r="B36" s="298" t="s">
        <v>728</v>
      </c>
      <c r="C36" s="288" t="s">
        <v>729</v>
      </c>
      <c r="D36" s="290">
        <v>30000000</v>
      </c>
      <c r="E36" s="289" t="s">
        <v>96</v>
      </c>
      <c r="F36" s="290">
        <v>150000</v>
      </c>
      <c r="G36" s="291">
        <f t="shared" si="0"/>
        <v>200</v>
      </c>
      <c r="H36" s="296">
        <v>0.25</v>
      </c>
      <c r="I36" s="296" t="s">
        <v>103</v>
      </c>
      <c r="J36" s="296" t="s">
        <v>394</v>
      </c>
      <c r="K36" s="299" t="s">
        <v>738</v>
      </c>
    </row>
    <row r="37" spans="1:11" x14ac:dyDescent="0.2">
      <c r="B37" s="323" t="s">
        <v>288</v>
      </c>
      <c r="C37" s="324"/>
      <c r="D37" s="325"/>
      <c r="E37" s="325"/>
      <c r="F37" s="325"/>
      <c r="G37" s="325"/>
      <c r="H37" s="326"/>
      <c r="I37" s="326"/>
      <c r="J37" s="326"/>
      <c r="K37" s="327"/>
    </row>
    <row r="40" spans="1:11" x14ac:dyDescent="0.2">
      <c r="B40" s="6" t="s">
        <v>302</v>
      </c>
    </row>
    <row r="41" spans="1:11" ht="15" x14ac:dyDescent="0.2">
      <c r="A41" s="307"/>
      <c r="B41" s="913" t="s">
        <v>304</v>
      </c>
      <c r="C41" s="914"/>
      <c r="D41" s="915"/>
    </row>
    <row r="42" spans="1:11" ht="57.75" customHeight="1" x14ac:dyDescent="0.2">
      <c r="A42" s="308"/>
      <c r="B42" s="83" t="s">
        <v>562</v>
      </c>
      <c r="C42" s="84">
        <v>0.5</v>
      </c>
      <c r="D42" s="86"/>
    </row>
    <row r="43" spans="1:11" ht="15" x14ac:dyDescent="0.2">
      <c r="A43" s="307"/>
      <c r="B43" s="913" t="s">
        <v>300</v>
      </c>
      <c r="C43" s="914"/>
      <c r="D43" s="915"/>
    </row>
    <row r="44" spans="1:11" ht="15" x14ac:dyDescent="0.2">
      <c r="A44" s="307"/>
      <c r="B44" s="653" t="s">
        <v>141</v>
      </c>
      <c r="C44" s="654">
        <v>0.3</v>
      </c>
      <c r="D44" s="652"/>
    </row>
    <row r="45" spans="1:11" ht="15" x14ac:dyDescent="0.2">
      <c r="A45" s="307"/>
      <c r="B45" s="651"/>
      <c r="C45" s="651"/>
      <c r="D45" s="651"/>
    </row>
    <row r="46" spans="1:11" x14ac:dyDescent="0.2">
      <c r="A46" s="308"/>
      <c r="B46" s="947" t="s">
        <v>399</v>
      </c>
      <c r="C46" s="947"/>
      <c r="D46" s="947"/>
    </row>
    <row r="47" spans="1:11" x14ac:dyDescent="0.2">
      <c r="B47" s="73"/>
      <c r="C47" s="74"/>
      <c r="D47" s="75"/>
    </row>
  </sheetData>
  <sheetProtection password="CF18" sheet="1" objects="1"/>
  <mergeCells count="3">
    <mergeCell ref="B41:D41"/>
    <mergeCell ref="B46:D46"/>
    <mergeCell ref="B43:D43"/>
  </mergeCells>
  <phoneticPr fontId="0" type="noConversion"/>
  <conditionalFormatting sqref="B23:K36">
    <cfRule type="expression" dxfId="54" priority="1" stopIfTrue="1">
      <formula>AND(COLUMN()=COLUMN($B23),$B23=OFFSET($B23,-1,0))</formula>
    </cfRule>
    <cfRule type="expression" dxfId="53" priority="2" stopIfTrue="1">
      <formula>$B23&lt;&gt;OFFSET($B23,-1,0)</formula>
    </cfRule>
  </conditionalFormatting>
  <dataValidations count="1">
    <dataValidation type="list" allowBlank="1" showInputMessage="1" showErrorMessage="1" sqref="E23:E36">
      <formula1>typeIndexSm</formula1>
    </dataValidation>
  </dataValidations>
  <hyperlinks>
    <hyperlink ref="D2" location="'Медиа-Заявка'!R67C3" tooltip="Вернуться на медиа-заявку" display="'Медиа-Заявка'!R67C3"/>
  </hyperlinks>
  <pageMargins left="0.75" right="0.75" top="1" bottom="1" header="0.5" footer="0.5"/>
  <pageSetup paperSize="9" scale="57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1">
    <tabColor rgb="FF92D050"/>
    <pageSetUpPr fitToPage="1"/>
  </sheetPr>
  <dimension ref="A1:J62"/>
  <sheetViews>
    <sheetView showGridLines="0" zoomScale="80" zoomScaleNormal="80" workbookViewId="0"/>
  </sheetViews>
  <sheetFormatPr defaultRowHeight="12.75" x14ac:dyDescent="0.2"/>
  <cols>
    <col min="1" max="1" width="2.5703125" style="4" customWidth="1"/>
    <col min="2" max="2" width="37.28515625" style="4" customWidth="1"/>
    <col min="3" max="3" width="57.140625" style="4" customWidth="1"/>
    <col min="4" max="7" width="15.7109375" style="4" customWidth="1"/>
    <col min="8" max="9" width="15.7109375" style="301" customWidth="1"/>
    <col min="10" max="10" width="43.42578125" style="4" customWidth="1"/>
    <col min="11" max="16384" width="9.140625" style="4"/>
  </cols>
  <sheetData>
    <row r="1" spans="2:10" x14ac:dyDescent="0.2">
      <c r="J1" s="301"/>
    </row>
    <row r="2" spans="2:10" ht="18" x14ac:dyDescent="0.2">
      <c r="B2" s="76" t="s">
        <v>18</v>
      </c>
      <c r="D2" s="574" t="str">
        <f>СПЛИТ!$B$3</f>
        <v>Версия прайс-листа: 23.09.2013</v>
      </c>
    </row>
    <row r="3" spans="2:10" x14ac:dyDescent="0.2">
      <c r="B3" s="3" t="s">
        <v>198</v>
      </c>
    </row>
    <row r="4" spans="2:10" s="60" customFormat="1" x14ac:dyDescent="0.2">
      <c r="H4" s="253"/>
      <c r="I4" s="253"/>
    </row>
    <row r="5" spans="2:10" s="60" customFormat="1" x14ac:dyDescent="0.2">
      <c r="B5" s="6" t="s">
        <v>303</v>
      </c>
      <c r="C5" s="4"/>
      <c r="D5" s="4"/>
      <c r="E5" s="4"/>
      <c r="H5" s="253"/>
      <c r="I5" s="253"/>
    </row>
    <row r="6" spans="2:10" s="60" customFormat="1" x14ac:dyDescent="0.2">
      <c r="B6" s="328" t="s">
        <v>89</v>
      </c>
      <c r="C6" s="328" t="s">
        <v>286</v>
      </c>
      <c r="H6" s="253"/>
      <c r="I6" s="253"/>
    </row>
    <row r="7" spans="2:10" s="60" customFormat="1" x14ac:dyDescent="0.2">
      <c r="B7" s="9" t="s">
        <v>79</v>
      </c>
      <c r="C7" s="285">
        <v>0.8</v>
      </c>
      <c r="D7" s="304"/>
      <c r="H7" s="253"/>
      <c r="I7" s="253"/>
    </row>
    <row r="8" spans="2:10" s="60" customFormat="1" x14ac:dyDescent="0.2">
      <c r="B8" s="10" t="s">
        <v>80</v>
      </c>
      <c r="C8" s="286">
        <v>0.9</v>
      </c>
      <c r="D8" s="304"/>
      <c r="H8" s="253"/>
      <c r="I8" s="253"/>
    </row>
    <row r="9" spans="2:10" s="60" customFormat="1" x14ac:dyDescent="0.2">
      <c r="B9" s="10" t="s">
        <v>81</v>
      </c>
      <c r="C9" s="286">
        <v>1</v>
      </c>
      <c r="D9" s="304"/>
      <c r="H9" s="253"/>
      <c r="I9" s="253"/>
    </row>
    <row r="10" spans="2:10" s="60" customFormat="1" x14ac:dyDescent="0.2">
      <c r="B10" s="10" t="s">
        <v>82</v>
      </c>
      <c r="C10" s="286">
        <v>1</v>
      </c>
      <c r="D10" s="304"/>
      <c r="H10" s="253"/>
      <c r="I10" s="253"/>
    </row>
    <row r="11" spans="2:10" s="60" customFormat="1" x14ac:dyDescent="0.2">
      <c r="B11" s="10" t="s">
        <v>83</v>
      </c>
      <c r="C11" s="286">
        <v>1</v>
      </c>
      <c r="D11" s="304"/>
      <c r="H11" s="253"/>
      <c r="I11" s="253"/>
    </row>
    <row r="12" spans="2:10" s="60" customFormat="1" x14ac:dyDescent="0.2">
      <c r="B12" s="10" t="s">
        <v>84</v>
      </c>
      <c r="C12" s="286">
        <v>1</v>
      </c>
      <c r="D12" s="304"/>
      <c r="H12" s="253"/>
      <c r="I12" s="253"/>
    </row>
    <row r="13" spans="2:10" s="60" customFormat="1" x14ac:dyDescent="0.2">
      <c r="B13" s="10" t="s">
        <v>85</v>
      </c>
      <c r="C13" s="807">
        <v>0.9</v>
      </c>
      <c r="D13" s="304"/>
      <c r="H13" s="253"/>
      <c r="I13" s="253"/>
    </row>
    <row r="14" spans="2:10" s="60" customFormat="1" x14ac:dyDescent="0.2">
      <c r="B14" s="10" t="s">
        <v>74</v>
      </c>
      <c r="C14" s="807">
        <v>0.9</v>
      </c>
      <c r="D14" s="304"/>
      <c r="H14" s="253"/>
      <c r="I14" s="253"/>
    </row>
    <row r="15" spans="2:10" s="60" customFormat="1" x14ac:dyDescent="0.2">
      <c r="B15" s="10" t="s">
        <v>75</v>
      </c>
      <c r="C15" s="807">
        <v>1.3</v>
      </c>
      <c r="D15" s="304"/>
      <c r="H15" s="253"/>
      <c r="I15" s="253"/>
    </row>
    <row r="16" spans="2:10" s="60" customFormat="1" x14ac:dyDescent="0.2">
      <c r="B16" s="10" t="s">
        <v>86</v>
      </c>
      <c r="C16" s="807">
        <v>1.3</v>
      </c>
      <c r="D16" s="304"/>
      <c r="H16" s="253"/>
      <c r="I16" s="253"/>
    </row>
    <row r="17" spans="1:10" s="60" customFormat="1" x14ac:dyDescent="0.2">
      <c r="B17" s="10" t="s">
        <v>87</v>
      </c>
      <c r="C17" s="807">
        <v>1.3</v>
      </c>
      <c r="D17" s="304"/>
      <c r="H17" s="253"/>
      <c r="I17" s="253"/>
    </row>
    <row r="18" spans="1:10" s="60" customFormat="1" x14ac:dyDescent="0.2">
      <c r="B18" s="11" t="s">
        <v>88</v>
      </c>
      <c r="C18" s="808">
        <v>1.3</v>
      </c>
      <c r="D18" s="304"/>
      <c r="H18" s="253"/>
      <c r="I18" s="253"/>
    </row>
    <row r="20" spans="1:10" s="5" customFormat="1" x14ac:dyDescent="0.2">
      <c r="B20" s="7"/>
      <c r="C20" s="8"/>
      <c r="H20" s="302"/>
      <c r="I20" s="302"/>
    </row>
    <row r="22" spans="1:10" ht="44.25" customHeight="1" x14ac:dyDescent="0.2">
      <c r="A22" s="183"/>
      <c r="B22" s="320" t="s">
        <v>278</v>
      </c>
      <c r="C22" s="320" t="s">
        <v>279</v>
      </c>
      <c r="D22" s="320" t="s">
        <v>275</v>
      </c>
      <c r="E22" s="320" t="s">
        <v>280</v>
      </c>
      <c r="F22" s="321" t="s">
        <v>395</v>
      </c>
      <c r="G22" s="321" t="s">
        <v>111</v>
      </c>
      <c r="H22" s="322" t="s">
        <v>282</v>
      </c>
      <c r="I22" s="322" t="s">
        <v>283</v>
      </c>
      <c r="J22" s="321" t="s">
        <v>285</v>
      </c>
    </row>
    <row r="23" spans="1:10" ht="25.5" x14ac:dyDescent="0.2">
      <c r="B23" s="298" t="s">
        <v>750</v>
      </c>
      <c r="C23" s="288" t="s">
        <v>213</v>
      </c>
      <c r="D23" s="290">
        <v>550000</v>
      </c>
      <c r="E23" s="289" t="s">
        <v>96</v>
      </c>
      <c r="F23" s="290">
        <v>1000</v>
      </c>
      <c r="G23" s="291">
        <f>D23/F23</f>
        <v>550</v>
      </c>
      <c r="H23" s="296">
        <v>0.25</v>
      </c>
      <c r="I23" s="296">
        <v>0.15</v>
      </c>
      <c r="J23" s="331" t="s">
        <v>893</v>
      </c>
    </row>
    <row r="24" spans="1:10" ht="25.5" x14ac:dyDescent="0.2">
      <c r="B24" s="298" t="s">
        <v>750</v>
      </c>
      <c r="C24" s="288" t="s">
        <v>221</v>
      </c>
      <c r="D24" s="290">
        <v>750000</v>
      </c>
      <c r="E24" s="289" t="s">
        <v>96</v>
      </c>
      <c r="F24" s="290">
        <v>1500</v>
      </c>
      <c r="G24" s="291">
        <f>D24/F24</f>
        <v>500</v>
      </c>
      <c r="H24" s="296">
        <v>0.25</v>
      </c>
      <c r="I24" s="296">
        <v>0.15</v>
      </c>
      <c r="J24" s="331" t="s">
        <v>893</v>
      </c>
    </row>
    <row r="25" spans="1:10" ht="25.5" x14ac:dyDescent="0.2">
      <c r="B25" s="298" t="s">
        <v>590</v>
      </c>
      <c r="C25" s="288" t="s">
        <v>223</v>
      </c>
      <c r="D25" s="290">
        <v>420000</v>
      </c>
      <c r="E25" s="289" t="s">
        <v>96</v>
      </c>
      <c r="F25" s="290">
        <v>700</v>
      </c>
      <c r="G25" s="291">
        <f t="shared" ref="G25:G40" si="0">D25/F25</f>
        <v>600</v>
      </c>
      <c r="H25" s="296" t="s">
        <v>52</v>
      </c>
      <c r="I25" s="296">
        <v>0.15</v>
      </c>
      <c r="J25" s="299"/>
    </row>
    <row r="26" spans="1:10" ht="25.5" x14ac:dyDescent="0.2">
      <c r="B26" s="298" t="s">
        <v>537</v>
      </c>
      <c r="C26" s="288" t="s">
        <v>224</v>
      </c>
      <c r="D26" s="290">
        <v>137500</v>
      </c>
      <c r="E26" s="289" t="s">
        <v>96</v>
      </c>
      <c r="F26" s="290">
        <v>250</v>
      </c>
      <c r="G26" s="291">
        <f t="shared" si="0"/>
        <v>550</v>
      </c>
      <c r="H26" s="296" t="s">
        <v>52</v>
      </c>
      <c r="I26" s="296">
        <v>0.15</v>
      </c>
      <c r="J26" s="299"/>
    </row>
    <row r="27" spans="1:10" x14ac:dyDescent="0.2">
      <c r="B27" s="298" t="s">
        <v>403</v>
      </c>
      <c r="C27" s="288" t="s">
        <v>404</v>
      </c>
      <c r="D27" s="290">
        <v>150000</v>
      </c>
      <c r="E27" s="289" t="s">
        <v>96</v>
      </c>
      <c r="F27" s="290">
        <v>600</v>
      </c>
      <c r="G27" s="291">
        <f t="shared" si="0"/>
        <v>250</v>
      </c>
      <c r="H27" s="296">
        <v>0.25</v>
      </c>
      <c r="I27" s="296">
        <v>0.15</v>
      </c>
      <c r="J27" s="299"/>
    </row>
    <row r="28" spans="1:10" x14ac:dyDescent="0.2">
      <c r="B28" s="298" t="s">
        <v>403</v>
      </c>
      <c r="C28" s="288" t="s">
        <v>405</v>
      </c>
      <c r="D28" s="290">
        <v>500</v>
      </c>
      <c r="E28" s="289" t="s">
        <v>101</v>
      </c>
      <c r="F28" s="290">
        <v>1</v>
      </c>
      <c r="G28" s="291">
        <f t="shared" si="0"/>
        <v>500</v>
      </c>
      <c r="H28" s="296">
        <v>0.25</v>
      </c>
      <c r="I28" s="296">
        <v>0.15</v>
      </c>
      <c r="J28" s="299"/>
    </row>
    <row r="29" spans="1:10" ht="25.5" x14ac:dyDescent="0.2">
      <c r="B29" s="298" t="s">
        <v>417</v>
      </c>
      <c r="C29" s="288" t="s">
        <v>406</v>
      </c>
      <c r="D29" s="290">
        <v>270000</v>
      </c>
      <c r="E29" s="289" t="s">
        <v>96</v>
      </c>
      <c r="F29" s="290">
        <v>1000</v>
      </c>
      <c r="G29" s="291">
        <f t="shared" si="0"/>
        <v>270</v>
      </c>
      <c r="H29" s="296">
        <v>0.25</v>
      </c>
      <c r="I29" s="296">
        <v>0.15</v>
      </c>
      <c r="J29" s="331" t="s">
        <v>893</v>
      </c>
    </row>
    <row r="30" spans="1:10" ht="25.5" x14ac:dyDescent="0.2">
      <c r="B30" s="298" t="s">
        <v>417</v>
      </c>
      <c r="C30" s="288" t="s">
        <v>411</v>
      </c>
      <c r="D30" s="290">
        <v>400000</v>
      </c>
      <c r="E30" s="289" t="s">
        <v>96</v>
      </c>
      <c r="F30" s="290">
        <v>2000</v>
      </c>
      <c r="G30" s="291">
        <f t="shared" si="0"/>
        <v>200</v>
      </c>
      <c r="H30" s="296">
        <v>0.25</v>
      </c>
      <c r="I30" s="296">
        <v>0.15</v>
      </c>
      <c r="J30" s="331" t="s">
        <v>893</v>
      </c>
    </row>
    <row r="31" spans="1:10" ht="25.5" x14ac:dyDescent="0.2">
      <c r="B31" s="298" t="s">
        <v>590</v>
      </c>
      <c r="C31" s="288" t="s">
        <v>407</v>
      </c>
      <c r="D31" s="290">
        <v>210000</v>
      </c>
      <c r="E31" s="289" t="s">
        <v>96</v>
      </c>
      <c r="F31" s="290">
        <v>700</v>
      </c>
      <c r="G31" s="291">
        <f t="shared" si="0"/>
        <v>300</v>
      </c>
      <c r="H31" s="296" t="s">
        <v>52</v>
      </c>
      <c r="I31" s="296">
        <v>0.15</v>
      </c>
      <c r="J31" s="299"/>
    </row>
    <row r="32" spans="1:10" ht="29.25" customHeight="1" x14ac:dyDescent="0.2">
      <c r="B32" s="298" t="s">
        <v>538</v>
      </c>
      <c r="C32" s="288" t="s">
        <v>408</v>
      </c>
      <c r="D32" s="290">
        <v>75000</v>
      </c>
      <c r="E32" s="289" t="s">
        <v>96</v>
      </c>
      <c r="F32" s="290">
        <v>250</v>
      </c>
      <c r="G32" s="291">
        <f t="shared" si="0"/>
        <v>300</v>
      </c>
      <c r="H32" s="296" t="s">
        <v>52</v>
      </c>
      <c r="I32" s="296">
        <v>0.15</v>
      </c>
      <c r="J32" s="299"/>
    </row>
    <row r="33" spans="1:10" x14ac:dyDescent="0.2">
      <c r="B33" s="298" t="s">
        <v>403</v>
      </c>
      <c r="C33" s="288" t="s">
        <v>409</v>
      </c>
      <c r="D33" s="290">
        <v>90000</v>
      </c>
      <c r="E33" s="289" t="s">
        <v>96</v>
      </c>
      <c r="F33" s="290">
        <v>600</v>
      </c>
      <c r="G33" s="291">
        <f t="shared" si="0"/>
        <v>150</v>
      </c>
      <c r="H33" s="296">
        <v>0.25</v>
      </c>
      <c r="I33" s="296">
        <v>0.15</v>
      </c>
      <c r="J33" s="299"/>
    </row>
    <row r="34" spans="1:10" x14ac:dyDescent="0.2">
      <c r="B34" s="298" t="s">
        <v>403</v>
      </c>
      <c r="C34" s="288" t="s">
        <v>410</v>
      </c>
      <c r="D34" s="290">
        <v>300</v>
      </c>
      <c r="E34" s="289" t="s">
        <v>101</v>
      </c>
      <c r="F34" s="290">
        <v>1</v>
      </c>
      <c r="G34" s="291">
        <f t="shared" si="0"/>
        <v>300</v>
      </c>
      <c r="H34" s="296">
        <v>0.25</v>
      </c>
      <c r="I34" s="296">
        <v>0.15</v>
      </c>
      <c r="J34" s="299"/>
    </row>
    <row r="35" spans="1:10" ht="25.5" x14ac:dyDescent="0.2">
      <c r="B35" s="298" t="s">
        <v>464</v>
      </c>
      <c r="C35" s="288" t="s">
        <v>412</v>
      </c>
      <c r="D35" s="290">
        <v>270000</v>
      </c>
      <c r="E35" s="289" t="s">
        <v>96</v>
      </c>
      <c r="F35" s="290">
        <v>1000</v>
      </c>
      <c r="G35" s="291">
        <f t="shared" si="0"/>
        <v>270</v>
      </c>
      <c r="H35" s="296">
        <v>0.25</v>
      </c>
      <c r="I35" s="296">
        <v>0.15</v>
      </c>
      <c r="J35" s="331" t="s">
        <v>893</v>
      </c>
    </row>
    <row r="36" spans="1:10" x14ac:dyDescent="0.2">
      <c r="B36" s="298" t="s">
        <v>402</v>
      </c>
      <c r="C36" s="288" t="s">
        <v>413</v>
      </c>
      <c r="D36" s="290">
        <v>210000</v>
      </c>
      <c r="E36" s="289" t="s">
        <v>96</v>
      </c>
      <c r="F36" s="290">
        <v>700</v>
      </c>
      <c r="G36" s="291">
        <f t="shared" si="0"/>
        <v>300</v>
      </c>
      <c r="H36" s="296" t="s">
        <v>52</v>
      </c>
      <c r="I36" s="296">
        <v>0.15</v>
      </c>
      <c r="J36" s="299"/>
    </row>
    <row r="37" spans="1:10" x14ac:dyDescent="0.2">
      <c r="B37" s="298"/>
      <c r="C37" s="288" t="s">
        <v>414</v>
      </c>
      <c r="D37" s="290">
        <v>75000</v>
      </c>
      <c r="E37" s="289" t="s">
        <v>96</v>
      </c>
      <c r="F37" s="290">
        <v>250</v>
      </c>
      <c r="G37" s="291">
        <f t="shared" si="0"/>
        <v>300</v>
      </c>
      <c r="H37" s="296" t="s">
        <v>52</v>
      </c>
      <c r="I37" s="296">
        <v>0.15</v>
      </c>
      <c r="J37" s="299"/>
    </row>
    <row r="38" spans="1:10" x14ac:dyDescent="0.2">
      <c r="B38" s="298" t="s">
        <v>745</v>
      </c>
      <c r="C38" s="288" t="s">
        <v>746</v>
      </c>
      <c r="D38" s="290">
        <v>500</v>
      </c>
      <c r="E38" s="289" t="s">
        <v>101</v>
      </c>
      <c r="F38" s="290">
        <v>1</v>
      </c>
      <c r="G38" s="291">
        <f t="shared" ref="G38" si="1">D38/F38</f>
        <v>500</v>
      </c>
      <c r="H38" s="296">
        <v>0.25</v>
      </c>
      <c r="I38" s="296">
        <v>0.15</v>
      </c>
      <c r="J38" s="299"/>
    </row>
    <row r="39" spans="1:10" x14ac:dyDescent="0.2">
      <c r="B39" s="298" t="s">
        <v>747</v>
      </c>
      <c r="C39" s="288" t="s">
        <v>748</v>
      </c>
      <c r="D39" s="290">
        <v>500</v>
      </c>
      <c r="E39" s="289" t="s">
        <v>101</v>
      </c>
      <c r="F39" s="290">
        <v>1</v>
      </c>
      <c r="G39" s="291">
        <f t="shared" ref="G39" si="2">D39/F39</f>
        <v>500</v>
      </c>
      <c r="H39" s="296">
        <v>0.25</v>
      </c>
      <c r="I39" s="296">
        <v>0.15</v>
      </c>
      <c r="J39" s="299"/>
    </row>
    <row r="40" spans="1:10" x14ac:dyDescent="0.2">
      <c r="B40" s="298" t="s">
        <v>747</v>
      </c>
      <c r="C40" s="288" t="s">
        <v>749</v>
      </c>
      <c r="D40" s="290">
        <v>300</v>
      </c>
      <c r="E40" s="289" t="s">
        <v>101</v>
      </c>
      <c r="F40" s="290">
        <v>1</v>
      </c>
      <c r="G40" s="291">
        <f t="shared" si="0"/>
        <v>300</v>
      </c>
      <c r="H40" s="296">
        <v>0.25</v>
      </c>
      <c r="I40" s="296">
        <v>0.15</v>
      </c>
      <c r="J40" s="299"/>
    </row>
    <row r="41" spans="1:10" x14ac:dyDescent="0.2">
      <c r="B41" s="323" t="s">
        <v>288</v>
      </c>
      <c r="C41" s="324"/>
      <c r="D41" s="325"/>
      <c r="E41" s="325"/>
      <c r="F41" s="325"/>
      <c r="G41" s="325"/>
      <c r="H41" s="326"/>
      <c r="I41" s="326"/>
      <c r="J41" s="327"/>
    </row>
    <row r="44" spans="1:10" x14ac:dyDescent="0.2">
      <c r="B44" s="6" t="s">
        <v>302</v>
      </c>
    </row>
    <row r="45" spans="1:10" s="60" customFormat="1" ht="15" x14ac:dyDescent="0.2">
      <c r="A45" s="307"/>
      <c r="B45" s="913" t="s">
        <v>305</v>
      </c>
      <c r="C45" s="914"/>
      <c r="D45" s="915"/>
      <c r="H45" s="253"/>
      <c r="I45" s="253"/>
    </row>
    <row r="46" spans="1:10" s="60" customFormat="1" ht="25.5" x14ac:dyDescent="0.2">
      <c r="A46" s="308"/>
      <c r="B46" s="80" t="s">
        <v>751</v>
      </c>
      <c r="C46" s="81">
        <v>0.25</v>
      </c>
      <c r="D46" s="87" t="s">
        <v>894</v>
      </c>
      <c r="H46" s="253"/>
      <c r="I46" s="253"/>
    </row>
    <row r="47" spans="1:10" s="60" customFormat="1" x14ac:dyDescent="0.2">
      <c r="A47" s="308"/>
      <c r="B47" s="80" t="s">
        <v>896</v>
      </c>
      <c r="C47" s="81">
        <v>0.15</v>
      </c>
      <c r="D47" s="87"/>
      <c r="H47" s="253"/>
      <c r="I47" s="253"/>
    </row>
    <row r="48" spans="1:10" s="60" customFormat="1" ht="15" x14ac:dyDescent="0.2">
      <c r="A48" s="307"/>
      <c r="B48" s="913" t="s">
        <v>304</v>
      </c>
      <c r="C48" s="914"/>
      <c r="D48" s="915"/>
      <c r="H48" s="253"/>
      <c r="I48" s="253"/>
    </row>
    <row r="49" spans="1:9" s="60" customFormat="1" x14ac:dyDescent="0.2">
      <c r="A49" s="308"/>
      <c r="B49" s="77" t="s">
        <v>3</v>
      </c>
      <c r="C49" s="78">
        <v>0.3</v>
      </c>
      <c r="D49" s="79"/>
      <c r="H49" s="253"/>
      <c r="I49" s="253"/>
    </row>
    <row r="50" spans="1:9" s="60" customFormat="1" ht="54" customHeight="1" x14ac:dyDescent="0.2">
      <c r="A50" s="308"/>
      <c r="B50" s="83" t="s">
        <v>562</v>
      </c>
      <c r="C50" s="84">
        <v>0.5</v>
      </c>
      <c r="D50" s="86"/>
      <c r="H50" s="253"/>
      <c r="I50" s="253"/>
    </row>
    <row r="51" spans="1:9" ht="15" x14ac:dyDescent="0.2">
      <c r="A51" s="307"/>
      <c r="B51" s="913" t="s">
        <v>301</v>
      </c>
      <c r="C51" s="914"/>
      <c r="D51" s="915"/>
    </row>
    <row r="52" spans="1:9" x14ac:dyDescent="0.2">
      <c r="A52" s="60"/>
      <c r="B52" s="80" t="s">
        <v>137</v>
      </c>
      <c r="C52" s="81">
        <v>0</v>
      </c>
      <c r="D52" s="87"/>
    </row>
    <row r="53" spans="1:9" x14ac:dyDescent="0.2">
      <c r="A53" s="60"/>
      <c r="B53" s="83" t="s">
        <v>138</v>
      </c>
      <c r="C53" s="84">
        <v>0</v>
      </c>
      <c r="D53" s="86"/>
    </row>
    <row r="54" spans="1:9" ht="15" x14ac:dyDescent="0.2">
      <c r="A54" s="307"/>
      <c r="B54" s="913" t="s">
        <v>300</v>
      </c>
      <c r="C54" s="914"/>
      <c r="D54" s="915"/>
    </row>
    <row r="55" spans="1:9" ht="16.5" customHeight="1" x14ac:dyDescent="0.2">
      <c r="A55" s="60"/>
      <c r="B55" s="80" t="s">
        <v>10</v>
      </c>
      <c r="C55" s="81">
        <v>0</v>
      </c>
      <c r="D55" s="87"/>
    </row>
    <row r="56" spans="1:9" ht="16.5" customHeight="1" x14ac:dyDescent="0.2">
      <c r="A56" s="60"/>
      <c r="B56" s="80" t="s">
        <v>895</v>
      </c>
      <c r="C56" s="81">
        <v>0.2</v>
      </c>
      <c r="D56" s="87"/>
    </row>
    <row r="57" spans="1:9" ht="16.5" customHeight="1" x14ac:dyDescent="0.2">
      <c r="A57" s="60"/>
      <c r="B57" s="80" t="s">
        <v>17</v>
      </c>
      <c r="C57" s="81" t="s">
        <v>51</v>
      </c>
      <c r="D57" s="87"/>
    </row>
    <row r="58" spans="1:9" ht="16.5" customHeight="1" x14ac:dyDescent="0.2">
      <c r="A58" s="60"/>
      <c r="B58" s="80" t="s">
        <v>140</v>
      </c>
      <c r="C58" s="81" t="s">
        <v>51</v>
      </c>
      <c r="D58" s="91"/>
    </row>
    <row r="59" spans="1:9" ht="16.5" customHeight="1" x14ac:dyDescent="0.2">
      <c r="A59" s="60"/>
      <c r="B59" s="80" t="s">
        <v>141</v>
      </c>
      <c r="C59" s="81" t="s">
        <v>51</v>
      </c>
      <c r="D59" s="91"/>
    </row>
    <row r="60" spans="1:9" ht="16.5" customHeight="1" x14ac:dyDescent="0.2">
      <c r="A60" s="60"/>
      <c r="B60" s="80" t="s">
        <v>54</v>
      </c>
      <c r="C60" s="81" t="s">
        <v>51</v>
      </c>
      <c r="D60" s="91"/>
    </row>
    <row r="61" spans="1:9" ht="16.5" customHeight="1" x14ac:dyDescent="0.2">
      <c r="A61" s="60"/>
      <c r="B61" s="80" t="s">
        <v>35</v>
      </c>
      <c r="C61" s="81">
        <v>0</v>
      </c>
      <c r="D61" s="87"/>
    </row>
    <row r="62" spans="1:9" ht="16.5" customHeight="1" x14ac:dyDescent="0.2">
      <c r="A62" s="308"/>
      <c r="B62" s="83" t="s">
        <v>143</v>
      </c>
      <c r="C62" s="84">
        <v>0</v>
      </c>
      <c r="D62" s="86"/>
    </row>
  </sheetData>
  <sheetProtection password="CF18" sheet="1" objects="1"/>
  <mergeCells count="4">
    <mergeCell ref="B51:D51"/>
    <mergeCell ref="B54:D54"/>
    <mergeCell ref="B48:D48"/>
    <mergeCell ref="B45:D45"/>
  </mergeCells>
  <phoneticPr fontId="2" type="noConversion"/>
  <conditionalFormatting sqref="B23:J40">
    <cfRule type="expression" dxfId="52" priority="1" stopIfTrue="1">
      <formula>AND(COLUMN()=COLUMN($B23),$B23=OFFSET($B23,-1,0))</formula>
    </cfRule>
    <cfRule type="expression" dxfId="51" priority="2" stopIfTrue="1">
      <formula>$B23&lt;&gt;OFFSET($B23,-1,0)</formula>
    </cfRule>
  </conditionalFormatting>
  <dataValidations count="1">
    <dataValidation type="list" allowBlank="1" showInputMessage="1" showErrorMessage="1" sqref="E23:E40">
      <formula1>typeIndexSm</formula1>
    </dataValidation>
  </dataValidations>
  <hyperlinks>
    <hyperlink ref="D2" location="'Медиа-Заявка'!R82C3" tooltip="Вернуться на медиа-заявку" display="'Медиа-Заявка'!R82C3"/>
  </hyperlinks>
  <pageMargins left="0.75" right="0.75" top="1" bottom="1" header="0.5" footer="0.5"/>
  <pageSetup paperSize="9" scale="43" orientation="landscape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61" r:id="rId4" name="Button 1">
              <controlPr defaultSize="0" print="0" autoFill="0" autoPict="0">
                <anchor moveWithCells="1" sizeWithCells="1">
                  <from>
                    <xdr:col>4</xdr:col>
                    <xdr:colOff>76200</xdr:colOff>
                    <xdr:row>0</xdr:row>
                    <xdr:rowOff>0</xdr:rowOff>
                  </from>
                  <to>
                    <xdr:col>4</xdr:col>
                    <xdr:colOff>790575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2" r:id="rId5" name="Button 2">
              <controlPr defaultSize="0" print="0" autoFill="0" autoPict="0">
                <anchor moveWithCells="1" sizeWithCells="1">
                  <from>
                    <xdr:col>4</xdr:col>
                    <xdr:colOff>76200</xdr:colOff>
                    <xdr:row>0</xdr:row>
                    <xdr:rowOff>0</xdr:rowOff>
                  </from>
                  <to>
                    <xdr:col>4</xdr:col>
                    <xdr:colOff>790575</xdr:colOff>
                    <xdr:row>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>
    <tabColor rgb="FF92D050"/>
    <pageSetUpPr fitToPage="1"/>
  </sheetPr>
  <dimension ref="A1:J30"/>
  <sheetViews>
    <sheetView showGridLines="0" zoomScale="80" zoomScaleNormal="80" workbookViewId="0"/>
  </sheetViews>
  <sheetFormatPr defaultColWidth="9.140625" defaultRowHeight="12.75" x14ac:dyDescent="0.2"/>
  <cols>
    <col min="1" max="1" width="2.5703125" style="60" customWidth="1"/>
    <col min="2" max="2" width="33" style="60" customWidth="1"/>
    <col min="3" max="3" width="57.140625" style="60" customWidth="1"/>
    <col min="4" max="7" width="15.7109375" style="60" customWidth="1"/>
    <col min="8" max="9" width="15.7109375" style="253" customWidth="1"/>
    <col min="10" max="10" width="43.42578125" style="60" customWidth="1"/>
    <col min="11" max="16384" width="9.140625" style="60"/>
  </cols>
  <sheetData>
    <row r="1" spans="2:10" x14ac:dyDescent="0.2">
      <c r="J1" s="253"/>
    </row>
    <row r="2" spans="2:10" ht="18" x14ac:dyDescent="0.2">
      <c r="B2" s="76" t="s">
        <v>644</v>
      </c>
      <c r="C2" s="12"/>
      <c r="D2" s="574" t="str">
        <f>СПЛИТ!$B$3</f>
        <v>Версия прайс-листа: 23.09.2013</v>
      </c>
    </row>
    <row r="3" spans="2:10" x14ac:dyDescent="0.2">
      <c r="B3" s="3" t="s">
        <v>198</v>
      </c>
      <c r="C3" s="4"/>
    </row>
    <row r="5" spans="2:10" x14ac:dyDescent="0.2">
      <c r="B5" s="6" t="s">
        <v>303</v>
      </c>
      <c r="C5" s="4"/>
      <c r="D5" s="4"/>
      <c r="E5" s="4"/>
    </row>
    <row r="6" spans="2:10" x14ac:dyDescent="0.2">
      <c r="B6" s="328" t="s">
        <v>89</v>
      </c>
      <c r="C6" s="328" t="s">
        <v>286</v>
      </c>
    </row>
    <row r="7" spans="2:10" x14ac:dyDescent="0.2">
      <c r="B7" s="9" t="s">
        <v>79</v>
      </c>
      <c r="C7" s="285">
        <v>0.8</v>
      </c>
      <c r="D7" s="304"/>
    </row>
    <row r="8" spans="2:10" x14ac:dyDescent="0.2">
      <c r="B8" s="10" t="s">
        <v>80</v>
      </c>
      <c r="C8" s="286">
        <v>0.9</v>
      </c>
      <c r="D8" s="304"/>
    </row>
    <row r="9" spans="2:10" x14ac:dyDescent="0.2">
      <c r="B9" s="10" t="s">
        <v>81</v>
      </c>
      <c r="C9" s="286">
        <v>1</v>
      </c>
      <c r="D9" s="304"/>
    </row>
    <row r="10" spans="2:10" x14ac:dyDescent="0.2">
      <c r="B10" s="10" t="s">
        <v>82</v>
      </c>
      <c r="C10" s="286">
        <v>1</v>
      </c>
      <c r="D10" s="304"/>
    </row>
    <row r="11" spans="2:10" x14ac:dyDescent="0.2">
      <c r="B11" s="10" t="s">
        <v>83</v>
      </c>
      <c r="C11" s="286">
        <v>1</v>
      </c>
      <c r="D11" s="304"/>
    </row>
    <row r="12" spans="2:10" x14ac:dyDescent="0.2">
      <c r="B12" s="10" t="s">
        <v>84</v>
      </c>
      <c r="C12" s="286">
        <v>1</v>
      </c>
      <c r="D12" s="304"/>
    </row>
    <row r="13" spans="2:10" x14ac:dyDescent="0.2">
      <c r="B13" s="10" t="s">
        <v>85</v>
      </c>
      <c r="C13" s="286">
        <v>0.9</v>
      </c>
      <c r="D13" s="304"/>
    </row>
    <row r="14" spans="2:10" x14ac:dyDescent="0.2">
      <c r="B14" s="10" t="s">
        <v>74</v>
      </c>
      <c r="C14" s="286">
        <v>0.9</v>
      </c>
      <c r="D14" s="304"/>
    </row>
    <row r="15" spans="2:10" x14ac:dyDescent="0.2">
      <c r="B15" s="10" t="s">
        <v>75</v>
      </c>
      <c r="C15" s="286">
        <v>1.3</v>
      </c>
      <c r="D15" s="304"/>
    </row>
    <row r="16" spans="2:10" x14ac:dyDescent="0.2">
      <c r="B16" s="10" t="s">
        <v>86</v>
      </c>
      <c r="C16" s="286">
        <v>1.3</v>
      </c>
      <c r="D16" s="304"/>
    </row>
    <row r="17" spans="1:10" x14ac:dyDescent="0.2">
      <c r="B17" s="10" t="s">
        <v>87</v>
      </c>
      <c r="C17" s="286">
        <v>1.3</v>
      </c>
      <c r="D17" s="304"/>
    </row>
    <row r="18" spans="1:10" x14ac:dyDescent="0.2">
      <c r="B18" s="11" t="s">
        <v>88</v>
      </c>
      <c r="C18" s="287">
        <v>1.3</v>
      </c>
      <c r="D18" s="304"/>
    </row>
    <row r="19" spans="1:10" s="304" customFormat="1" x14ac:dyDescent="0.2">
      <c r="B19" s="15"/>
      <c r="C19" s="16"/>
      <c r="H19" s="306"/>
      <c r="I19" s="306"/>
    </row>
    <row r="22" spans="1:10" ht="44.25" customHeight="1" x14ac:dyDescent="0.55000000000000004">
      <c r="A22" s="319"/>
      <c r="B22" s="320" t="s">
        <v>278</v>
      </c>
      <c r="C22" s="320" t="s">
        <v>279</v>
      </c>
      <c r="D22" s="320" t="s">
        <v>275</v>
      </c>
      <c r="E22" s="320" t="s">
        <v>280</v>
      </c>
      <c r="F22" s="321" t="s">
        <v>395</v>
      </c>
      <c r="G22" s="321" t="s">
        <v>111</v>
      </c>
      <c r="H22" s="322" t="s">
        <v>282</v>
      </c>
      <c r="I22" s="322" t="s">
        <v>283</v>
      </c>
      <c r="J22" s="321" t="s">
        <v>285</v>
      </c>
    </row>
    <row r="23" spans="1:10" ht="32.25" customHeight="1" x14ac:dyDescent="0.2">
      <c r="B23" s="298" t="s">
        <v>424</v>
      </c>
      <c r="C23" s="288" t="s">
        <v>432</v>
      </c>
      <c r="D23" s="290">
        <v>175000</v>
      </c>
      <c r="E23" s="289" t="s">
        <v>96</v>
      </c>
      <c r="F23" s="290">
        <v>500</v>
      </c>
      <c r="G23" s="291">
        <f>D23/F23</f>
        <v>350</v>
      </c>
      <c r="H23" s="296">
        <v>0.25</v>
      </c>
      <c r="I23" s="296" t="s">
        <v>103</v>
      </c>
      <c r="J23" s="331" t="s">
        <v>162</v>
      </c>
    </row>
    <row r="24" spans="1:10" ht="29.25" customHeight="1" x14ac:dyDescent="0.2">
      <c r="B24" s="298" t="s">
        <v>424</v>
      </c>
      <c r="C24" s="288" t="s">
        <v>645</v>
      </c>
      <c r="D24" s="290">
        <v>400</v>
      </c>
      <c r="E24" s="289" t="s">
        <v>101</v>
      </c>
      <c r="F24" s="290">
        <v>1</v>
      </c>
      <c r="G24" s="291">
        <f>D24/F24</f>
        <v>400</v>
      </c>
      <c r="H24" s="296">
        <v>0.25</v>
      </c>
      <c r="I24" s="296" t="s">
        <v>103</v>
      </c>
      <c r="J24" s="331" t="s">
        <v>433</v>
      </c>
    </row>
    <row r="25" spans="1:10" x14ac:dyDescent="0.2">
      <c r="B25" s="323" t="s">
        <v>91</v>
      </c>
      <c r="C25" s="324"/>
      <c r="D25" s="325"/>
      <c r="E25" s="325"/>
      <c r="F25" s="325"/>
      <c r="G25" s="325"/>
      <c r="H25" s="326"/>
      <c r="I25" s="326"/>
      <c r="J25" s="327"/>
    </row>
    <row r="28" spans="1:10" x14ac:dyDescent="0.2">
      <c r="B28" s="6" t="s">
        <v>302</v>
      </c>
    </row>
    <row r="29" spans="1:10" ht="15" x14ac:dyDescent="0.2">
      <c r="A29" s="307"/>
      <c r="B29" s="913" t="s">
        <v>304</v>
      </c>
      <c r="C29" s="914"/>
      <c r="D29" s="915"/>
    </row>
    <row r="30" spans="1:10" ht="54.75" customHeight="1" x14ac:dyDescent="0.2">
      <c r="A30" s="308"/>
      <c r="B30" s="337" t="s">
        <v>562</v>
      </c>
      <c r="C30" s="338">
        <v>0.5</v>
      </c>
      <c r="D30" s="339"/>
    </row>
  </sheetData>
  <sheetProtection password="CF18" sheet="1" objects="1"/>
  <mergeCells count="1">
    <mergeCell ref="B29:D29"/>
  </mergeCells>
  <phoneticPr fontId="2" type="noConversion"/>
  <conditionalFormatting sqref="B23:J24">
    <cfRule type="expression" dxfId="50" priority="1" stopIfTrue="1">
      <formula>AND(COLUMN()=COLUMN($B23),$B23=OFFSET($B23,-1,0))</formula>
    </cfRule>
    <cfRule type="expression" dxfId="49" priority="2" stopIfTrue="1">
      <formula>$B23&lt;&gt;OFFSET($B23,-1,0)</formula>
    </cfRule>
  </conditionalFormatting>
  <dataValidations count="1">
    <dataValidation type="list" allowBlank="1" showInputMessage="1" showErrorMessage="1" sqref="E23:E24">
      <formula1>typeIndexSm</formula1>
    </dataValidation>
  </dataValidations>
  <hyperlinks>
    <hyperlink ref="D2" location="'Медиа-Заявка'!R101C3" tooltip="Вернуться на медиа-заявку" display="'Медиа-Заявка'!R101C3"/>
  </hyperlinks>
  <pageMargins left="0.75" right="0.75" top="1" bottom="1" header="0.5" footer="0.5"/>
  <pageSetup paperSize="9" scale="57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tabColor rgb="FF92D050"/>
    <pageSetUpPr fitToPage="1"/>
  </sheetPr>
  <dimension ref="A1:K60"/>
  <sheetViews>
    <sheetView showGridLines="0" zoomScale="80" zoomScaleNormal="80" workbookViewId="0"/>
  </sheetViews>
  <sheetFormatPr defaultColWidth="9.140625" defaultRowHeight="12.75" x14ac:dyDescent="0.2"/>
  <cols>
    <col min="1" max="1" width="2.5703125" style="60" customWidth="1"/>
    <col min="2" max="2" width="33" style="60" customWidth="1"/>
    <col min="3" max="3" width="57.140625" style="60" customWidth="1"/>
    <col min="4" max="7" width="15.7109375" style="60" customWidth="1"/>
    <col min="8" max="10" width="15.7109375" style="253" customWidth="1"/>
    <col min="11" max="11" width="44.5703125" style="60" customWidth="1"/>
    <col min="12" max="16384" width="9.140625" style="60"/>
  </cols>
  <sheetData>
    <row r="1" spans="2:11" x14ac:dyDescent="0.2">
      <c r="K1" s="253"/>
    </row>
    <row r="2" spans="2:11" ht="18" x14ac:dyDescent="0.2">
      <c r="B2" s="76" t="s">
        <v>617</v>
      </c>
      <c r="C2" s="12"/>
      <c r="D2" s="574" t="str">
        <f>СПЛИТ!$B$3</f>
        <v>Версия прайс-листа: 23.09.2013</v>
      </c>
    </row>
    <row r="3" spans="2:11" x14ac:dyDescent="0.2">
      <c r="B3" s="3" t="s">
        <v>198</v>
      </c>
      <c r="C3" s="4"/>
    </row>
    <row r="5" spans="2:11" x14ac:dyDescent="0.2">
      <c r="B5" s="6" t="s">
        <v>303</v>
      </c>
      <c r="C5" s="4"/>
      <c r="D5" s="4"/>
      <c r="E5" s="4"/>
    </row>
    <row r="6" spans="2:11" x14ac:dyDescent="0.2">
      <c r="B6" s="328" t="s">
        <v>89</v>
      </c>
      <c r="C6" s="328" t="s">
        <v>286</v>
      </c>
    </row>
    <row r="7" spans="2:11" x14ac:dyDescent="0.2">
      <c r="B7" s="9" t="s">
        <v>79</v>
      </c>
      <c r="C7" s="285">
        <v>0.8</v>
      </c>
      <c r="D7" s="304"/>
    </row>
    <row r="8" spans="2:11" x14ac:dyDescent="0.2">
      <c r="B8" s="10" t="s">
        <v>80</v>
      </c>
      <c r="C8" s="286">
        <v>0.9</v>
      </c>
      <c r="D8" s="304"/>
    </row>
    <row r="9" spans="2:11" x14ac:dyDescent="0.2">
      <c r="B9" s="10" t="s">
        <v>81</v>
      </c>
      <c r="C9" s="286">
        <v>1</v>
      </c>
      <c r="D9" s="304"/>
    </row>
    <row r="10" spans="2:11" x14ac:dyDescent="0.2">
      <c r="B10" s="10" t="s">
        <v>82</v>
      </c>
      <c r="C10" s="286">
        <v>1</v>
      </c>
      <c r="D10" s="304"/>
    </row>
    <row r="11" spans="2:11" x14ac:dyDescent="0.2">
      <c r="B11" s="10" t="s">
        <v>83</v>
      </c>
      <c r="C11" s="286">
        <v>1</v>
      </c>
      <c r="D11" s="304"/>
    </row>
    <row r="12" spans="2:11" x14ac:dyDescent="0.2">
      <c r="B12" s="10" t="s">
        <v>84</v>
      </c>
      <c r="C12" s="286">
        <v>1</v>
      </c>
      <c r="D12" s="304"/>
    </row>
    <row r="13" spans="2:11" x14ac:dyDescent="0.2">
      <c r="B13" s="10" t="s">
        <v>85</v>
      </c>
      <c r="C13" s="286">
        <v>0.9</v>
      </c>
      <c r="D13" s="304"/>
    </row>
    <row r="14" spans="2:11" x14ac:dyDescent="0.2">
      <c r="B14" s="10" t="s">
        <v>74</v>
      </c>
      <c r="C14" s="286">
        <v>0.9</v>
      </c>
      <c r="D14" s="304"/>
    </row>
    <row r="15" spans="2:11" x14ac:dyDescent="0.2">
      <c r="B15" s="10" t="s">
        <v>75</v>
      </c>
      <c r="C15" s="286">
        <v>1.3</v>
      </c>
      <c r="D15" s="304"/>
    </row>
    <row r="16" spans="2:11" x14ac:dyDescent="0.2">
      <c r="B16" s="10" t="s">
        <v>86</v>
      </c>
      <c r="C16" s="286">
        <v>1.3</v>
      </c>
      <c r="D16" s="304"/>
    </row>
    <row r="17" spans="1:11" x14ac:dyDescent="0.2">
      <c r="B17" s="10" t="s">
        <v>87</v>
      </c>
      <c r="C17" s="286">
        <v>1.3</v>
      </c>
      <c r="D17" s="304"/>
    </row>
    <row r="18" spans="1:11" x14ac:dyDescent="0.2">
      <c r="B18" s="11" t="s">
        <v>88</v>
      </c>
      <c r="C18" s="287">
        <v>1.3</v>
      </c>
      <c r="D18" s="304"/>
    </row>
    <row r="19" spans="1:11" s="304" customFormat="1" x14ac:dyDescent="0.2">
      <c r="B19" s="15"/>
      <c r="C19" s="16"/>
      <c r="H19" s="306"/>
      <c r="I19" s="306"/>
      <c r="J19" s="306"/>
    </row>
    <row r="22" spans="1:11" ht="44.25" customHeight="1" x14ac:dyDescent="0.55000000000000004">
      <c r="A22" s="319"/>
      <c r="B22" s="320" t="s">
        <v>278</v>
      </c>
      <c r="C22" s="320" t="s">
        <v>279</v>
      </c>
      <c r="D22" s="320" t="s">
        <v>275</v>
      </c>
      <c r="E22" s="320" t="s">
        <v>280</v>
      </c>
      <c r="F22" s="321" t="s">
        <v>395</v>
      </c>
      <c r="G22" s="321" t="s">
        <v>111</v>
      </c>
      <c r="H22" s="322" t="s">
        <v>282</v>
      </c>
      <c r="I22" s="322" t="s">
        <v>283</v>
      </c>
      <c r="J22" s="322" t="s">
        <v>284</v>
      </c>
      <c r="K22" s="321" t="s">
        <v>285</v>
      </c>
    </row>
    <row r="23" spans="1:11" ht="25.5" x14ac:dyDescent="0.2">
      <c r="B23" s="298" t="s">
        <v>642</v>
      </c>
      <c r="C23" s="288" t="s">
        <v>620</v>
      </c>
      <c r="D23" s="290">
        <v>750000</v>
      </c>
      <c r="E23" s="289" t="s">
        <v>96</v>
      </c>
      <c r="F23" s="290">
        <v>5000</v>
      </c>
      <c r="G23" s="291">
        <f t="shared" ref="G23:G30" si="0">D23/F23</f>
        <v>150</v>
      </c>
      <c r="H23" s="296" t="s">
        <v>103</v>
      </c>
      <c r="I23" s="296" t="s">
        <v>52</v>
      </c>
      <c r="J23" s="296" t="s">
        <v>393</v>
      </c>
      <c r="K23" s="331" t="s">
        <v>622</v>
      </c>
    </row>
    <row r="24" spans="1:11" ht="25.5" x14ac:dyDescent="0.2">
      <c r="B24" s="298" t="s">
        <v>642</v>
      </c>
      <c r="C24" s="288" t="s">
        <v>625</v>
      </c>
      <c r="D24" s="290">
        <v>1200000</v>
      </c>
      <c r="E24" s="289" t="s">
        <v>96</v>
      </c>
      <c r="F24" s="290">
        <v>12000</v>
      </c>
      <c r="G24" s="291">
        <f t="shared" si="0"/>
        <v>100</v>
      </c>
      <c r="H24" s="296" t="s">
        <v>103</v>
      </c>
      <c r="I24" s="296" t="s">
        <v>52</v>
      </c>
      <c r="J24" s="296" t="s">
        <v>393</v>
      </c>
      <c r="K24" s="331" t="s">
        <v>622</v>
      </c>
    </row>
    <row r="25" spans="1:11" ht="25.5" x14ac:dyDescent="0.2">
      <c r="B25" s="298" t="s">
        <v>642</v>
      </c>
      <c r="C25" s="288" t="s">
        <v>621</v>
      </c>
      <c r="D25" s="290">
        <v>250</v>
      </c>
      <c r="E25" s="289" t="s">
        <v>101</v>
      </c>
      <c r="F25" s="290">
        <v>1</v>
      </c>
      <c r="G25" s="291">
        <f t="shared" si="0"/>
        <v>250</v>
      </c>
      <c r="H25" s="296" t="s">
        <v>52</v>
      </c>
      <c r="I25" s="296" t="s">
        <v>103</v>
      </c>
      <c r="J25" s="296" t="s">
        <v>393</v>
      </c>
      <c r="K25" s="331" t="s">
        <v>418</v>
      </c>
    </row>
    <row r="26" spans="1:11" ht="25.5" x14ac:dyDescent="0.2">
      <c r="B26" s="298" t="s">
        <v>642</v>
      </c>
      <c r="C26" s="288" t="s">
        <v>623</v>
      </c>
      <c r="D26" s="290">
        <v>200</v>
      </c>
      <c r="E26" s="289" t="s">
        <v>101</v>
      </c>
      <c r="F26" s="290">
        <v>1</v>
      </c>
      <c r="G26" s="291">
        <f t="shared" si="0"/>
        <v>200</v>
      </c>
      <c r="H26" s="296" t="s">
        <v>52</v>
      </c>
      <c r="I26" s="296" t="s">
        <v>103</v>
      </c>
      <c r="J26" s="296" t="s">
        <v>393</v>
      </c>
      <c r="K26" s="331" t="s">
        <v>433</v>
      </c>
    </row>
    <row r="27" spans="1:11" ht="72.75" customHeight="1" x14ac:dyDescent="0.2">
      <c r="B27" s="298" t="s">
        <v>642</v>
      </c>
      <c r="C27" s="297" t="s">
        <v>899</v>
      </c>
      <c r="D27" s="290">
        <v>200</v>
      </c>
      <c r="E27" s="289" t="s">
        <v>101</v>
      </c>
      <c r="F27" s="290">
        <v>1</v>
      </c>
      <c r="G27" s="291">
        <f t="shared" si="0"/>
        <v>200</v>
      </c>
      <c r="H27" s="296" t="s">
        <v>103</v>
      </c>
      <c r="I27" s="296" t="s">
        <v>52</v>
      </c>
      <c r="J27" s="296" t="s">
        <v>393</v>
      </c>
      <c r="K27" s="331" t="s">
        <v>898</v>
      </c>
    </row>
    <row r="28" spans="1:11" ht="54" customHeight="1" x14ac:dyDescent="0.2">
      <c r="B28" s="298" t="s">
        <v>642</v>
      </c>
      <c r="C28" s="288" t="s">
        <v>624</v>
      </c>
      <c r="D28" s="290">
        <v>18000000</v>
      </c>
      <c r="E28" s="289" t="s">
        <v>96</v>
      </c>
      <c r="F28" s="290">
        <v>200000</v>
      </c>
      <c r="G28" s="291">
        <f t="shared" si="0"/>
        <v>90</v>
      </c>
      <c r="H28" s="296" t="s">
        <v>103</v>
      </c>
      <c r="I28" s="296" t="s">
        <v>52</v>
      </c>
      <c r="J28" s="296" t="s">
        <v>394</v>
      </c>
      <c r="K28" s="331" t="s">
        <v>626</v>
      </c>
    </row>
    <row r="29" spans="1:11" x14ac:dyDescent="0.2">
      <c r="B29" s="298" t="s">
        <v>475</v>
      </c>
      <c r="C29" s="288" t="s">
        <v>365</v>
      </c>
      <c r="D29" s="290">
        <v>800</v>
      </c>
      <c r="E29" s="289" t="s">
        <v>101</v>
      </c>
      <c r="F29" s="290">
        <v>1</v>
      </c>
      <c r="G29" s="291">
        <f t="shared" si="0"/>
        <v>800</v>
      </c>
      <c r="H29" s="296">
        <v>0.25</v>
      </c>
      <c r="I29" s="296" t="s">
        <v>52</v>
      </c>
      <c r="J29" s="296" t="s">
        <v>393</v>
      </c>
      <c r="K29" s="331" t="s">
        <v>627</v>
      </c>
    </row>
    <row r="30" spans="1:11" x14ac:dyDescent="0.2">
      <c r="B30" s="298" t="s">
        <v>158</v>
      </c>
      <c r="C30" s="288" t="s">
        <v>628</v>
      </c>
      <c r="D30" s="290">
        <v>550</v>
      </c>
      <c r="E30" s="289" t="s">
        <v>101</v>
      </c>
      <c r="F30" s="290">
        <v>1</v>
      </c>
      <c r="G30" s="291">
        <f t="shared" si="0"/>
        <v>550</v>
      </c>
      <c r="H30" s="296">
        <v>0.25</v>
      </c>
      <c r="I30" s="296" t="s">
        <v>52</v>
      </c>
      <c r="J30" s="296" t="s">
        <v>393</v>
      </c>
      <c r="K30" s="331" t="s">
        <v>629</v>
      </c>
    </row>
    <row r="31" spans="1:11" x14ac:dyDescent="0.2">
      <c r="B31" s="323" t="s">
        <v>91</v>
      </c>
      <c r="C31" s="324"/>
      <c r="D31" s="325"/>
      <c r="E31" s="325"/>
      <c r="F31" s="325"/>
      <c r="G31" s="325"/>
      <c r="H31" s="326"/>
      <c r="I31" s="326"/>
      <c r="J31" s="326"/>
      <c r="K31" s="327"/>
    </row>
    <row r="34" spans="1:9" x14ac:dyDescent="0.2">
      <c r="B34" s="6" t="s">
        <v>302</v>
      </c>
    </row>
    <row r="35" spans="1:9" ht="15" x14ac:dyDescent="0.2">
      <c r="A35" s="307"/>
      <c r="B35" s="913" t="s">
        <v>306</v>
      </c>
      <c r="C35" s="914"/>
      <c r="D35" s="915"/>
    </row>
    <row r="36" spans="1:9" x14ac:dyDescent="0.2">
      <c r="A36" s="308"/>
      <c r="B36" s="334" t="s">
        <v>630</v>
      </c>
      <c r="C36" s="335">
        <v>0.15</v>
      </c>
      <c r="D36" s="336"/>
    </row>
    <row r="37" spans="1:9" x14ac:dyDescent="0.2">
      <c r="A37" s="308"/>
      <c r="B37" s="340" t="s">
        <v>631</v>
      </c>
      <c r="C37" s="342">
        <v>0.25</v>
      </c>
      <c r="D37" s="662"/>
    </row>
    <row r="38" spans="1:9" x14ac:dyDescent="0.2">
      <c r="A38" s="308"/>
      <c r="B38" s="337" t="s">
        <v>278</v>
      </c>
      <c r="C38" s="338">
        <v>0.25</v>
      </c>
      <c r="D38" s="660"/>
    </row>
    <row r="39" spans="1:9" ht="15" x14ac:dyDescent="0.2">
      <c r="A39" s="307"/>
      <c r="B39" s="913" t="s">
        <v>304</v>
      </c>
      <c r="C39" s="914"/>
      <c r="D39" s="915"/>
    </row>
    <row r="40" spans="1:9" ht="57.75" customHeight="1" x14ac:dyDescent="0.2">
      <c r="A40" s="308"/>
      <c r="B40" s="337" t="s">
        <v>562</v>
      </c>
      <c r="C40" s="338">
        <v>0.5</v>
      </c>
      <c r="D40" s="339"/>
    </row>
    <row r="41" spans="1:9" s="4" customFormat="1" ht="15" x14ac:dyDescent="0.2">
      <c r="A41" s="307"/>
      <c r="B41" s="913" t="s">
        <v>301</v>
      </c>
      <c r="C41" s="914"/>
      <c r="D41" s="915"/>
      <c r="H41" s="301"/>
      <c r="I41" s="301"/>
    </row>
    <row r="42" spans="1:9" s="4" customFormat="1" x14ac:dyDescent="0.2">
      <c r="A42" s="60"/>
      <c r="B42" s="80" t="s">
        <v>632</v>
      </c>
      <c r="C42" s="81">
        <v>0</v>
      </c>
      <c r="D42" s="87"/>
      <c r="H42" s="301"/>
      <c r="I42" s="301"/>
    </row>
    <row r="43" spans="1:9" s="4" customFormat="1" x14ac:dyDescent="0.2">
      <c r="A43" s="60"/>
      <c r="B43" s="80" t="s">
        <v>137</v>
      </c>
      <c r="C43" s="81">
        <v>0</v>
      </c>
      <c r="D43" s="87"/>
      <c r="H43" s="301"/>
      <c r="I43" s="301"/>
    </row>
    <row r="44" spans="1:9" s="4" customFormat="1" ht="15" x14ac:dyDescent="0.2">
      <c r="A44" s="307"/>
      <c r="B44" s="913" t="s">
        <v>300</v>
      </c>
      <c r="C44" s="914"/>
      <c r="D44" s="915"/>
      <c r="H44" s="301"/>
      <c r="I44" s="301"/>
    </row>
    <row r="45" spans="1:9" s="4" customFormat="1" ht="16.5" customHeight="1" x14ac:dyDescent="0.2">
      <c r="A45" s="60"/>
      <c r="B45" s="80" t="s">
        <v>10</v>
      </c>
      <c r="C45" s="81">
        <v>0</v>
      </c>
      <c r="D45" s="87"/>
      <c r="H45" s="301"/>
      <c r="I45" s="301"/>
    </row>
    <row r="46" spans="1:9" s="4" customFormat="1" ht="16.5" customHeight="1" x14ac:dyDescent="0.2">
      <c r="A46" s="60"/>
      <c r="B46" s="83" t="s">
        <v>633</v>
      </c>
      <c r="C46" s="84">
        <v>0</v>
      </c>
      <c r="D46" s="85"/>
      <c r="H46" s="301"/>
      <c r="I46" s="301"/>
    </row>
    <row r="48" spans="1:9" x14ac:dyDescent="0.2">
      <c r="B48" s="60" t="s">
        <v>643</v>
      </c>
    </row>
    <row r="50" spans="1:9" x14ac:dyDescent="0.2">
      <c r="B50" s="6" t="s">
        <v>900</v>
      </c>
    </row>
    <row r="51" spans="1:9" x14ac:dyDescent="0.2">
      <c r="A51" s="308"/>
      <c r="B51" s="787" t="s">
        <v>634</v>
      </c>
      <c r="C51" s="657"/>
      <c r="D51"/>
    </row>
    <row r="52" spans="1:9" x14ac:dyDescent="0.2">
      <c r="A52" s="308"/>
      <c r="B52" s="787" t="s">
        <v>635</v>
      </c>
      <c r="C52" s="657"/>
      <c r="D52"/>
    </row>
    <row r="53" spans="1:9" x14ac:dyDescent="0.2">
      <c r="A53" s="308"/>
      <c r="B53" s="787" t="s">
        <v>636</v>
      </c>
      <c r="C53" s="657"/>
      <c r="D53"/>
    </row>
    <row r="54" spans="1:9" s="4" customFormat="1" x14ac:dyDescent="0.2">
      <c r="A54" s="60"/>
      <c r="B54" s="788" t="s">
        <v>637</v>
      </c>
      <c r="C54" s="74"/>
      <c r="D54"/>
      <c r="H54" s="301"/>
      <c r="I54" s="301"/>
    </row>
    <row r="55" spans="1:9" s="4" customFormat="1" x14ac:dyDescent="0.2">
      <c r="A55" s="60"/>
      <c r="B55" s="788" t="s">
        <v>638</v>
      </c>
      <c r="C55" s="74"/>
      <c r="D55"/>
      <c r="H55" s="301"/>
      <c r="I55" s="301"/>
    </row>
    <row r="56" spans="1:9" s="4" customFormat="1" x14ac:dyDescent="0.2">
      <c r="A56" s="60"/>
      <c r="B56" s="788" t="s">
        <v>639</v>
      </c>
      <c r="C56" s="74"/>
      <c r="D56"/>
      <c r="H56" s="301"/>
      <c r="I56" s="301"/>
    </row>
    <row r="57" spans="1:9" s="4" customFormat="1" x14ac:dyDescent="0.2">
      <c r="A57" s="60"/>
      <c r="B57" s="788" t="s">
        <v>640</v>
      </c>
      <c r="C57" s="74"/>
      <c r="D57"/>
      <c r="H57" s="301"/>
      <c r="I57" s="301"/>
    </row>
    <row r="58" spans="1:9" s="4" customFormat="1" x14ac:dyDescent="0.2">
      <c r="A58" s="60"/>
      <c r="B58" s="789" t="s">
        <v>641</v>
      </c>
      <c r="C58" s="74"/>
      <c r="D58" s="786"/>
      <c r="H58" s="301"/>
      <c r="I58" s="301"/>
    </row>
    <row r="59" spans="1:9" s="4" customFormat="1" x14ac:dyDescent="0.2">
      <c r="A59" s="60"/>
      <c r="B59" s="790" t="s">
        <v>901</v>
      </c>
      <c r="C59" s="74"/>
      <c r="D59" s="786"/>
      <c r="H59" s="301"/>
      <c r="I59" s="301"/>
    </row>
    <row r="60" spans="1:9" s="4" customFormat="1" ht="16.5" customHeight="1" x14ac:dyDescent="0.2">
      <c r="A60" s="60"/>
      <c r="B60" s="73"/>
      <c r="C60" s="74"/>
      <c r="D60" s="786"/>
      <c r="H60" s="301"/>
      <c r="I60" s="301"/>
    </row>
  </sheetData>
  <sheetProtection password="CF18" sheet="1" objects="1"/>
  <mergeCells count="4">
    <mergeCell ref="B35:D35"/>
    <mergeCell ref="B39:D39"/>
    <mergeCell ref="B41:D41"/>
    <mergeCell ref="B44:D44"/>
  </mergeCells>
  <conditionalFormatting sqref="B23:K30">
    <cfRule type="expression" dxfId="48" priority="1" stopIfTrue="1">
      <formula>AND(COLUMN()=COLUMN($B23),$B23=OFFSET($B23,-1,0))</formula>
    </cfRule>
    <cfRule type="expression" dxfId="47" priority="2" stopIfTrue="1">
      <formula>$B23&lt;&gt;OFFSET($B23,-1,0)</formula>
    </cfRule>
  </conditionalFormatting>
  <dataValidations count="1">
    <dataValidation type="list" allowBlank="1" showInputMessage="1" showErrorMessage="1" sqref="E23:E30">
      <formula1>typeIndexSm</formula1>
    </dataValidation>
  </dataValidations>
  <hyperlinks>
    <hyperlink ref="D2" location="'Медиа-Заявка'!R104C3" tooltip="Вернуться на медиа-заявку" display="'Медиа-Заявка'!R104C3"/>
  </hyperlinks>
  <pageMargins left="0.75" right="0.75" top="1" bottom="1" header="0.5" footer="0.5"/>
  <pageSetup paperSize="9" scale="57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>
    <tabColor rgb="FF92D050"/>
    <pageSetUpPr fitToPage="1"/>
  </sheetPr>
  <dimension ref="A1:J46"/>
  <sheetViews>
    <sheetView showGridLines="0" zoomScale="80" zoomScaleNormal="80" workbookViewId="0"/>
  </sheetViews>
  <sheetFormatPr defaultColWidth="9.140625" defaultRowHeight="12.75" x14ac:dyDescent="0.2"/>
  <cols>
    <col min="1" max="1" width="2.5703125" style="60" customWidth="1"/>
    <col min="2" max="2" width="33" style="60" customWidth="1"/>
    <col min="3" max="3" width="57.140625" style="60" customWidth="1"/>
    <col min="4" max="7" width="15.7109375" style="60" customWidth="1"/>
    <col min="8" max="9" width="15.7109375" style="253" customWidth="1"/>
    <col min="10" max="10" width="43.42578125" style="60" customWidth="1"/>
    <col min="11" max="16384" width="9.140625" style="60"/>
  </cols>
  <sheetData>
    <row r="1" spans="2:10" x14ac:dyDescent="0.2">
      <c r="J1" s="253"/>
    </row>
    <row r="2" spans="2:10" ht="18" x14ac:dyDescent="0.2">
      <c r="B2" s="76" t="s">
        <v>425</v>
      </c>
      <c r="C2" s="12"/>
      <c r="D2" s="574" t="str">
        <f>СПЛИТ!$B$3</f>
        <v>Версия прайс-листа: 23.09.2013</v>
      </c>
    </row>
    <row r="3" spans="2:10" x14ac:dyDescent="0.2">
      <c r="B3" s="3" t="s">
        <v>198</v>
      </c>
      <c r="C3" s="4"/>
    </row>
    <row r="5" spans="2:10" x14ac:dyDescent="0.2">
      <c r="B5" s="6" t="s">
        <v>303</v>
      </c>
      <c r="C5" s="4"/>
      <c r="D5" s="4"/>
      <c r="E5" s="4"/>
    </row>
    <row r="6" spans="2:10" x14ac:dyDescent="0.2">
      <c r="B6" s="328" t="s">
        <v>89</v>
      </c>
      <c r="C6" s="328" t="s">
        <v>286</v>
      </c>
    </row>
    <row r="7" spans="2:10" x14ac:dyDescent="0.2">
      <c r="B7" s="9" t="s">
        <v>79</v>
      </c>
      <c r="C7" s="285">
        <v>0.8</v>
      </c>
      <c r="D7" s="304"/>
    </row>
    <row r="8" spans="2:10" x14ac:dyDescent="0.2">
      <c r="B8" s="10" t="s">
        <v>80</v>
      </c>
      <c r="C8" s="286">
        <v>0.9</v>
      </c>
      <c r="D8" s="304"/>
    </row>
    <row r="9" spans="2:10" x14ac:dyDescent="0.2">
      <c r="B9" s="10" t="s">
        <v>81</v>
      </c>
      <c r="C9" s="286">
        <v>1</v>
      </c>
      <c r="D9" s="304"/>
    </row>
    <row r="10" spans="2:10" x14ac:dyDescent="0.2">
      <c r="B10" s="10" t="s">
        <v>82</v>
      </c>
      <c r="C10" s="286">
        <v>1</v>
      </c>
      <c r="D10" s="304"/>
    </row>
    <row r="11" spans="2:10" x14ac:dyDescent="0.2">
      <c r="B11" s="10" t="s">
        <v>83</v>
      </c>
      <c r="C11" s="286">
        <v>1</v>
      </c>
      <c r="D11" s="304"/>
    </row>
    <row r="12" spans="2:10" x14ac:dyDescent="0.2">
      <c r="B12" s="10" t="s">
        <v>84</v>
      </c>
      <c r="C12" s="286">
        <v>1</v>
      </c>
      <c r="D12" s="304"/>
    </row>
    <row r="13" spans="2:10" x14ac:dyDescent="0.2">
      <c r="B13" s="10" t="s">
        <v>85</v>
      </c>
      <c r="C13" s="286">
        <v>0.9</v>
      </c>
      <c r="D13" s="304"/>
    </row>
    <row r="14" spans="2:10" x14ac:dyDescent="0.2">
      <c r="B14" s="10" t="s">
        <v>74</v>
      </c>
      <c r="C14" s="286">
        <v>0.9</v>
      </c>
      <c r="D14" s="304"/>
    </row>
    <row r="15" spans="2:10" x14ac:dyDescent="0.2">
      <c r="B15" s="10" t="s">
        <v>75</v>
      </c>
      <c r="C15" s="286">
        <v>1.3</v>
      </c>
      <c r="D15" s="304"/>
    </row>
    <row r="16" spans="2:10" x14ac:dyDescent="0.2">
      <c r="B16" s="10" t="s">
        <v>86</v>
      </c>
      <c r="C16" s="286">
        <v>1.3</v>
      </c>
      <c r="D16" s="304"/>
    </row>
    <row r="17" spans="1:10" x14ac:dyDescent="0.2">
      <c r="B17" s="10" t="s">
        <v>87</v>
      </c>
      <c r="C17" s="286">
        <v>1.3</v>
      </c>
      <c r="D17" s="304"/>
    </row>
    <row r="18" spans="1:10" x14ac:dyDescent="0.2">
      <c r="B18" s="11" t="s">
        <v>88</v>
      </c>
      <c r="C18" s="287">
        <v>1.3</v>
      </c>
      <c r="D18" s="304"/>
    </row>
    <row r="19" spans="1:10" s="304" customFormat="1" x14ac:dyDescent="0.2">
      <c r="B19" s="15"/>
      <c r="C19" s="16"/>
      <c r="H19" s="306"/>
      <c r="I19" s="306"/>
    </row>
    <row r="22" spans="1:10" ht="44.25" customHeight="1" x14ac:dyDescent="0.55000000000000004">
      <c r="A22" s="319"/>
      <c r="B22" s="320" t="s">
        <v>278</v>
      </c>
      <c r="C22" s="320" t="s">
        <v>279</v>
      </c>
      <c r="D22" s="320" t="s">
        <v>275</v>
      </c>
      <c r="E22" s="320" t="s">
        <v>280</v>
      </c>
      <c r="F22" s="321" t="s">
        <v>395</v>
      </c>
      <c r="G22" s="321" t="s">
        <v>111</v>
      </c>
      <c r="H22" s="322" t="s">
        <v>282</v>
      </c>
      <c r="I22" s="322" t="s">
        <v>283</v>
      </c>
      <c r="J22" s="321" t="s">
        <v>285</v>
      </c>
    </row>
    <row r="23" spans="1:10" ht="25.5" x14ac:dyDescent="0.2">
      <c r="B23" s="791" t="s">
        <v>648</v>
      </c>
      <c r="C23" s="288" t="s">
        <v>431</v>
      </c>
      <c r="D23" s="290">
        <v>105000</v>
      </c>
      <c r="E23" s="289" t="s">
        <v>96</v>
      </c>
      <c r="F23" s="290">
        <v>300</v>
      </c>
      <c r="G23" s="291">
        <f>D23/F23</f>
        <v>350</v>
      </c>
      <c r="H23" s="296">
        <v>0.25</v>
      </c>
      <c r="I23" s="296">
        <v>0.15</v>
      </c>
      <c r="J23" s="331" t="s">
        <v>890</v>
      </c>
    </row>
    <row r="24" spans="1:10" ht="25.5" x14ac:dyDescent="0.2">
      <c r="B24" s="791" t="s">
        <v>648</v>
      </c>
      <c r="C24" s="288" t="s">
        <v>213</v>
      </c>
      <c r="D24" s="290">
        <v>300000</v>
      </c>
      <c r="E24" s="289" t="s">
        <v>96</v>
      </c>
      <c r="F24" s="290">
        <v>1000</v>
      </c>
      <c r="G24" s="291">
        <f t="shared" ref="G24:G27" si="0">D24/F24</f>
        <v>300</v>
      </c>
      <c r="H24" s="296">
        <v>0.25</v>
      </c>
      <c r="I24" s="296">
        <v>0.15</v>
      </c>
      <c r="J24" s="331" t="s">
        <v>890</v>
      </c>
    </row>
    <row r="25" spans="1:10" ht="25.5" x14ac:dyDescent="0.2">
      <c r="B25" s="791" t="s">
        <v>648</v>
      </c>
      <c r="C25" s="288" t="s">
        <v>221</v>
      </c>
      <c r="D25" s="290">
        <v>375000</v>
      </c>
      <c r="E25" s="289" t="s">
        <v>96</v>
      </c>
      <c r="F25" s="290">
        <v>1500</v>
      </c>
      <c r="G25" s="291">
        <f t="shared" si="0"/>
        <v>250</v>
      </c>
      <c r="H25" s="296">
        <v>0.25</v>
      </c>
      <c r="I25" s="296">
        <v>0.15</v>
      </c>
      <c r="J25" s="331" t="s">
        <v>890</v>
      </c>
    </row>
    <row r="26" spans="1:10" ht="25.5" x14ac:dyDescent="0.2">
      <c r="B26" s="791" t="s">
        <v>648</v>
      </c>
      <c r="C26" s="288" t="s">
        <v>242</v>
      </c>
      <c r="D26" s="290">
        <v>60000</v>
      </c>
      <c r="E26" s="289" t="s">
        <v>96</v>
      </c>
      <c r="F26" s="290">
        <v>300</v>
      </c>
      <c r="G26" s="291">
        <f t="shared" si="0"/>
        <v>200</v>
      </c>
      <c r="H26" s="296">
        <v>0.25</v>
      </c>
      <c r="I26" s="296">
        <v>0.15</v>
      </c>
      <c r="J26" s="331" t="s">
        <v>890</v>
      </c>
    </row>
    <row r="27" spans="1:10" ht="25.5" x14ac:dyDescent="0.2">
      <c r="B27" s="791" t="s">
        <v>648</v>
      </c>
      <c r="C27" s="288" t="s">
        <v>601</v>
      </c>
      <c r="D27" s="290">
        <v>150000</v>
      </c>
      <c r="E27" s="289" t="s">
        <v>96</v>
      </c>
      <c r="F27" s="290">
        <v>1500</v>
      </c>
      <c r="G27" s="291">
        <f t="shared" si="0"/>
        <v>100</v>
      </c>
      <c r="H27" s="296">
        <v>0.25</v>
      </c>
      <c r="I27" s="296">
        <v>0.15</v>
      </c>
      <c r="J27" s="331" t="s">
        <v>890</v>
      </c>
    </row>
    <row r="28" spans="1:10" ht="25.5" x14ac:dyDescent="0.2">
      <c r="B28" s="791" t="s">
        <v>648</v>
      </c>
      <c r="C28" s="288" t="s">
        <v>365</v>
      </c>
      <c r="D28" s="290">
        <v>2000</v>
      </c>
      <c r="E28" s="289" t="s">
        <v>101</v>
      </c>
      <c r="F28" s="290">
        <v>1</v>
      </c>
      <c r="G28" s="291">
        <f>D28/F28</f>
        <v>2000</v>
      </c>
      <c r="H28" s="296" t="s">
        <v>103</v>
      </c>
      <c r="I28" s="296" t="s">
        <v>52</v>
      </c>
      <c r="J28" s="299"/>
    </row>
    <row r="29" spans="1:10" x14ac:dyDescent="0.2">
      <c r="B29" s="323" t="s">
        <v>91</v>
      </c>
      <c r="C29" s="324"/>
      <c r="D29" s="325"/>
      <c r="E29" s="325"/>
      <c r="F29" s="325"/>
      <c r="G29" s="325"/>
      <c r="H29" s="326"/>
      <c r="I29" s="326"/>
      <c r="J29" s="327"/>
    </row>
    <row r="32" spans="1:10" x14ac:dyDescent="0.2">
      <c r="B32" s="6" t="s">
        <v>302</v>
      </c>
    </row>
    <row r="33" spans="1:4" ht="15" x14ac:dyDescent="0.2">
      <c r="A33" s="307"/>
      <c r="B33" s="913" t="s">
        <v>304</v>
      </c>
      <c r="C33" s="914"/>
      <c r="D33" s="915"/>
    </row>
    <row r="34" spans="1:4" x14ac:dyDescent="0.2">
      <c r="A34" s="308"/>
      <c r="B34" s="334" t="s">
        <v>3</v>
      </c>
      <c r="C34" s="335">
        <v>0.3</v>
      </c>
      <c r="D34" s="336"/>
    </row>
    <row r="35" spans="1:4" ht="55.5" customHeight="1" x14ac:dyDescent="0.2">
      <c r="A35" s="308"/>
      <c r="B35" s="337" t="s">
        <v>562</v>
      </c>
      <c r="C35" s="338">
        <v>0.5</v>
      </c>
      <c r="D35" s="339"/>
    </row>
    <row r="36" spans="1:4" ht="15" x14ac:dyDescent="0.2">
      <c r="A36" s="307"/>
      <c r="B36" s="913" t="s">
        <v>301</v>
      </c>
      <c r="C36" s="914"/>
      <c r="D36" s="915"/>
    </row>
    <row r="37" spans="1:4" x14ac:dyDescent="0.2">
      <c r="A37" s="308"/>
      <c r="B37" s="340" t="s">
        <v>11</v>
      </c>
      <c r="C37" s="342">
        <v>0</v>
      </c>
      <c r="D37" s="661"/>
    </row>
    <row r="38" spans="1:4" x14ac:dyDescent="0.2">
      <c r="A38" s="308"/>
      <c r="B38" s="337" t="s">
        <v>138</v>
      </c>
      <c r="C38" s="338">
        <v>0</v>
      </c>
      <c r="D38" s="339"/>
    </row>
    <row r="39" spans="1:4" ht="15" x14ac:dyDescent="0.2">
      <c r="A39" s="307"/>
      <c r="B39" s="913" t="s">
        <v>300</v>
      </c>
      <c r="C39" s="914"/>
      <c r="D39" s="915"/>
    </row>
    <row r="40" spans="1:4" x14ac:dyDescent="0.2">
      <c r="A40" s="308"/>
      <c r="B40" s="334" t="s">
        <v>140</v>
      </c>
      <c r="C40" s="335">
        <v>0.35</v>
      </c>
      <c r="D40" s="336" t="s">
        <v>439</v>
      </c>
    </row>
    <row r="41" spans="1:4" x14ac:dyDescent="0.2">
      <c r="A41" s="308"/>
      <c r="B41" s="340" t="s">
        <v>141</v>
      </c>
      <c r="C41" s="342">
        <v>0.35</v>
      </c>
      <c r="D41" s="662" t="s">
        <v>440</v>
      </c>
    </row>
    <row r="42" spans="1:4" x14ac:dyDescent="0.2">
      <c r="A42" s="308"/>
      <c r="B42" s="340" t="s">
        <v>5</v>
      </c>
      <c r="C42" s="342">
        <v>0</v>
      </c>
      <c r="D42" s="662"/>
    </row>
    <row r="43" spans="1:4" ht="38.25" x14ac:dyDescent="0.2">
      <c r="A43" s="308"/>
      <c r="B43" s="340" t="s">
        <v>654</v>
      </c>
      <c r="C43" s="342">
        <v>1</v>
      </c>
      <c r="D43" s="662"/>
    </row>
    <row r="44" spans="1:4" x14ac:dyDescent="0.2">
      <c r="A44" s="308"/>
      <c r="B44" s="340" t="s">
        <v>441</v>
      </c>
      <c r="C44" s="342">
        <v>0</v>
      </c>
      <c r="D44" s="662"/>
    </row>
    <row r="45" spans="1:4" x14ac:dyDescent="0.2">
      <c r="A45" s="308"/>
      <c r="B45" s="337" t="s">
        <v>442</v>
      </c>
      <c r="C45" s="338">
        <v>0.35</v>
      </c>
      <c r="D45" s="660" t="s">
        <v>443</v>
      </c>
    </row>
    <row r="46" spans="1:4" x14ac:dyDescent="0.2">
      <c r="A46" s="308"/>
      <c r="B46" s="656"/>
      <c r="C46" s="657"/>
      <c r="D46" s="659"/>
    </row>
  </sheetData>
  <sheetProtection password="CF18" sheet="1" objects="1"/>
  <mergeCells count="3">
    <mergeCell ref="B33:D33"/>
    <mergeCell ref="B36:D36"/>
    <mergeCell ref="B39:D39"/>
  </mergeCells>
  <conditionalFormatting sqref="B23:J28">
    <cfRule type="expression" dxfId="46" priority="1" stopIfTrue="1">
      <formula>AND(COLUMN()=COLUMN($B23),$B23=OFFSET($B23,-1,0))</formula>
    </cfRule>
    <cfRule type="expression" dxfId="45" priority="2" stopIfTrue="1">
      <formula>$B23&lt;&gt;OFFSET($B23,-1,0)</formula>
    </cfRule>
  </conditionalFormatting>
  <dataValidations count="1">
    <dataValidation type="list" allowBlank="1" showInputMessage="1" showErrorMessage="1" sqref="E23:E28">
      <formula1>typeIndexSm</formula1>
    </dataValidation>
  </dataValidations>
  <hyperlinks>
    <hyperlink ref="D2" location="'Медиа-Заявка'!R113C3" tooltip="Вернуться на медиа-заявку" display="'Медиа-Заявка'!R113C3"/>
  </hyperlinks>
  <pageMargins left="0.75" right="0.75" top="1" bottom="1" header="0.5" footer="0.5"/>
  <pageSetup paperSize="9" scale="52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>
    <tabColor rgb="FF92D050"/>
    <pageSetUpPr fitToPage="1"/>
  </sheetPr>
  <dimension ref="A1:J44"/>
  <sheetViews>
    <sheetView showGridLines="0" zoomScale="80" zoomScaleNormal="80" workbookViewId="0"/>
  </sheetViews>
  <sheetFormatPr defaultColWidth="9.140625" defaultRowHeight="12.75" x14ac:dyDescent="0.2"/>
  <cols>
    <col min="1" max="1" width="2.5703125" style="60" customWidth="1"/>
    <col min="2" max="2" width="33" style="60" customWidth="1"/>
    <col min="3" max="3" width="57.140625" style="60" customWidth="1"/>
    <col min="4" max="7" width="15.7109375" style="60" customWidth="1"/>
    <col min="8" max="9" width="15.7109375" style="253" customWidth="1"/>
    <col min="10" max="10" width="43.42578125" style="60" customWidth="1"/>
    <col min="11" max="16384" width="9.140625" style="60"/>
  </cols>
  <sheetData>
    <row r="1" spans="2:10" x14ac:dyDescent="0.2">
      <c r="J1" s="253"/>
    </row>
    <row r="2" spans="2:10" ht="18" x14ac:dyDescent="0.2">
      <c r="B2" s="76" t="s">
        <v>428</v>
      </c>
      <c r="C2" s="12"/>
      <c r="D2" s="574" t="str">
        <f>СПЛИТ!$B$3</f>
        <v>Версия прайс-листа: 23.09.2013</v>
      </c>
    </row>
    <row r="3" spans="2:10" x14ac:dyDescent="0.2">
      <c r="B3" s="3" t="s">
        <v>198</v>
      </c>
      <c r="C3" s="4"/>
    </row>
    <row r="5" spans="2:10" x14ac:dyDescent="0.2">
      <c r="B5" s="6" t="s">
        <v>303</v>
      </c>
      <c r="C5" s="4"/>
      <c r="D5" s="4"/>
      <c r="E5" s="4"/>
    </row>
    <row r="6" spans="2:10" x14ac:dyDescent="0.2">
      <c r="B6" s="328" t="s">
        <v>89</v>
      </c>
      <c r="C6" s="328" t="s">
        <v>286</v>
      </c>
    </row>
    <row r="7" spans="2:10" x14ac:dyDescent="0.2">
      <c r="B7" s="9" t="s">
        <v>79</v>
      </c>
      <c r="C7" s="285">
        <v>0.8</v>
      </c>
      <c r="D7" s="304"/>
    </row>
    <row r="8" spans="2:10" x14ac:dyDescent="0.2">
      <c r="B8" s="10" t="s">
        <v>80</v>
      </c>
      <c r="C8" s="286">
        <v>0.9</v>
      </c>
      <c r="D8" s="304"/>
    </row>
    <row r="9" spans="2:10" x14ac:dyDescent="0.2">
      <c r="B9" s="10" t="s">
        <v>81</v>
      </c>
      <c r="C9" s="286">
        <v>1</v>
      </c>
      <c r="D9" s="304"/>
    </row>
    <row r="10" spans="2:10" x14ac:dyDescent="0.2">
      <c r="B10" s="10" t="s">
        <v>82</v>
      </c>
      <c r="C10" s="286">
        <v>1</v>
      </c>
      <c r="D10" s="304"/>
    </row>
    <row r="11" spans="2:10" x14ac:dyDescent="0.2">
      <c r="B11" s="10" t="s">
        <v>83</v>
      </c>
      <c r="C11" s="286">
        <v>1</v>
      </c>
      <c r="D11" s="304"/>
    </row>
    <row r="12" spans="2:10" x14ac:dyDescent="0.2">
      <c r="B12" s="10" t="s">
        <v>84</v>
      </c>
      <c r="C12" s="286">
        <v>1</v>
      </c>
      <c r="D12" s="304"/>
    </row>
    <row r="13" spans="2:10" x14ac:dyDescent="0.2">
      <c r="B13" s="10" t="s">
        <v>85</v>
      </c>
      <c r="C13" s="286">
        <v>0.9</v>
      </c>
      <c r="D13" s="304"/>
    </row>
    <row r="14" spans="2:10" x14ac:dyDescent="0.2">
      <c r="B14" s="10" t="s">
        <v>74</v>
      </c>
      <c r="C14" s="286">
        <v>0.9</v>
      </c>
      <c r="D14" s="304"/>
    </row>
    <row r="15" spans="2:10" x14ac:dyDescent="0.2">
      <c r="B15" s="10" t="s">
        <v>75</v>
      </c>
      <c r="C15" s="286">
        <v>1.3</v>
      </c>
      <c r="D15" s="304"/>
    </row>
    <row r="16" spans="2:10" x14ac:dyDescent="0.2">
      <c r="B16" s="10" t="s">
        <v>86</v>
      </c>
      <c r="C16" s="286">
        <v>1.3</v>
      </c>
      <c r="D16" s="304"/>
    </row>
    <row r="17" spans="1:10" x14ac:dyDescent="0.2">
      <c r="B17" s="10" t="s">
        <v>87</v>
      </c>
      <c r="C17" s="286">
        <v>1.3</v>
      </c>
      <c r="D17" s="304"/>
    </row>
    <row r="18" spans="1:10" x14ac:dyDescent="0.2">
      <c r="B18" s="11" t="s">
        <v>88</v>
      </c>
      <c r="C18" s="287">
        <v>1.3</v>
      </c>
      <c r="D18" s="304"/>
    </row>
    <row r="19" spans="1:10" s="304" customFormat="1" x14ac:dyDescent="0.2">
      <c r="B19" s="15"/>
      <c r="C19" s="16"/>
      <c r="H19" s="306"/>
      <c r="I19" s="306"/>
    </row>
    <row r="22" spans="1:10" ht="44.25" customHeight="1" x14ac:dyDescent="0.55000000000000004">
      <c r="A22" s="319"/>
      <c r="B22" s="320" t="s">
        <v>278</v>
      </c>
      <c r="C22" s="320" t="s">
        <v>279</v>
      </c>
      <c r="D22" s="320" t="s">
        <v>275</v>
      </c>
      <c r="E22" s="320" t="s">
        <v>280</v>
      </c>
      <c r="F22" s="321" t="s">
        <v>395</v>
      </c>
      <c r="G22" s="321" t="s">
        <v>111</v>
      </c>
      <c r="H22" s="322" t="s">
        <v>282</v>
      </c>
      <c r="I22" s="322" t="s">
        <v>283</v>
      </c>
      <c r="J22" s="321" t="s">
        <v>285</v>
      </c>
    </row>
    <row r="23" spans="1:10" ht="32.25" customHeight="1" x14ac:dyDescent="0.2">
      <c r="B23" s="298" t="s">
        <v>424</v>
      </c>
      <c r="C23" s="288" t="s">
        <v>432</v>
      </c>
      <c r="D23" s="290">
        <v>300000</v>
      </c>
      <c r="E23" s="289" t="s">
        <v>96</v>
      </c>
      <c r="F23" s="290">
        <v>500</v>
      </c>
      <c r="G23" s="291">
        <f>D23/F23</f>
        <v>600</v>
      </c>
      <c r="H23" s="296" t="s">
        <v>103</v>
      </c>
      <c r="I23" s="296" t="s">
        <v>103</v>
      </c>
      <c r="J23" s="331" t="s">
        <v>162</v>
      </c>
    </row>
    <row r="24" spans="1:10" ht="32.25" customHeight="1" x14ac:dyDescent="0.2">
      <c r="B24" s="298" t="s">
        <v>424</v>
      </c>
      <c r="C24" s="288" t="s">
        <v>213</v>
      </c>
      <c r="D24" s="290">
        <v>550000</v>
      </c>
      <c r="E24" s="289" t="s">
        <v>96</v>
      </c>
      <c r="F24" s="290">
        <v>1000</v>
      </c>
      <c r="G24" s="291">
        <f>D24/F24</f>
        <v>550</v>
      </c>
      <c r="H24" s="296" t="s">
        <v>103</v>
      </c>
      <c r="I24" s="296" t="s">
        <v>103</v>
      </c>
      <c r="J24" s="331" t="s">
        <v>162</v>
      </c>
    </row>
    <row r="25" spans="1:10" ht="32.25" customHeight="1" x14ac:dyDescent="0.2">
      <c r="B25" s="298" t="s">
        <v>424</v>
      </c>
      <c r="C25" s="288" t="s">
        <v>117</v>
      </c>
      <c r="D25" s="290">
        <v>700</v>
      </c>
      <c r="E25" s="289" t="s">
        <v>101</v>
      </c>
      <c r="F25" s="290">
        <v>1</v>
      </c>
      <c r="G25" s="291">
        <f>D25/F25</f>
        <v>700</v>
      </c>
      <c r="H25" s="296">
        <v>0.25</v>
      </c>
      <c r="I25" s="296">
        <v>0.15</v>
      </c>
      <c r="J25" s="331" t="s">
        <v>433</v>
      </c>
    </row>
    <row r="26" spans="1:10" ht="32.25" customHeight="1" x14ac:dyDescent="0.2">
      <c r="B26" s="298" t="s">
        <v>424</v>
      </c>
      <c r="C26" s="288" t="s">
        <v>435</v>
      </c>
      <c r="D26" s="290">
        <v>225000</v>
      </c>
      <c r="E26" s="289" t="s">
        <v>96</v>
      </c>
      <c r="F26" s="290">
        <v>500</v>
      </c>
      <c r="G26" s="291">
        <f t="shared" ref="G26:G28" si="0">D26/F26</f>
        <v>450</v>
      </c>
      <c r="H26" s="296" t="s">
        <v>103</v>
      </c>
      <c r="I26" s="296" t="s">
        <v>103</v>
      </c>
      <c r="J26" s="331" t="s">
        <v>162</v>
      </c>
    </row>
    <row r="27" spans="1:10" ht="32.25" customHeight="1" x14ac:dyDescent="0.2">
      <c r="B27" s="298" t="s">
        <v>424</v>
      </c>
      <c r="C27" s="288" t="s">
        <v>434</v>
      </c>
      <c r="D27" s="290">
        <v>400000</v>
      </c>
      <c r="E27" s="289" t="s">
        <v>96</v>
      </c>
      <c r="F27" s="290">
        <v>1000</v>
      </c>
      <c r="G27" s="291">
        <f t="shared" si="0"/>
        <v>400</v>
      </c>
      <c r="H27" s="296" t="s">
        <v>103</v>
      </c>
      <c r="I27" s="296" t="s">
        <v>103</v>
      </c>
      <c r="J27" s="331" t="s">
        <v>162</v>
      </c>
    </row>
    <row r="28" spans="1:10" ht="29.25" customHeight="1" x14ac:dyDescent="0.2">
      <c r="B28" s="298" t="s">
        <v>424</v>
      </c>
      <c r="C28" s="288" t="s">
        <v>147</v>
      </c>
      <c r="D28" s="290">
        <v>500</v>
      </c>
      <c r="E28" s="289" t="s">
        <v>101</v>
      </c>
      <c r="F28" s="290">
        <v>1</v>
      </c>
      <c r="G28" s="291">
        <f t="shared" si="0"/>
        <v>500</v>
      </c>
      <c r="H28" s="296">
        <v>0.25</v>
      </c>
      <c r="I28" s="296">
        <v>0.15</v>
      </c>
      <c r="J28" s="331" t="s">
        <v>433</v>
      </c>
    </row>
    <row r="29" spans="1:10" x14ac:dyDescent="0.2">
      <c r="B29" s="323" t="s">
        <v>91</v>
      </c>
      <c r="C29" s="324"/>
      <c r="D29" s="325"/>
      <c r="E29" s="325"/>
      <c r="F29" s="325"/>
      <c r="G29" s="325"/>
      <c r="H29" s="326"/>
      <c r="I29" s="326"/>
      <c r="J29" s="327"/>
    </row>
    <row r="32" spans="1:10" x14ac:dyDescent="0.2">
      <c r="B32" s="6" t="s">
        <v>302</v>
      </c>
    </row>
    <row r="33" spans="1:4" ht="15" x14ac:dyDescent="0.2">
      <c r="A33" s="307"/>
      <c r="B33" s="913" t="s">
        <v>304</v>
      </c>
      <c r="C33" s="914"/>
      <c r="D33" s="915"/>
    </row>
    <row r="34" spans="1:4" x14ac:dyDescent="0.2">
      <c r="A34" s="308"/>
      <c r="B34" s="334" t="s">
        <v>3</v>
      </c>
      <c r="C34" s="335">
        <v>0.3</v>
      </c>
      <c r="D34" s="336"/>
    </row>
    <row r="35" spans="1:4" ht="53.25" customHeight="1" x14ac:dyDescent="0.2">
      <c r="A35" s="308"/>
      <c r="B35" s="337" t="s">
        <v>562</v>
      </c>
      <c r="C35" s="338">
        <v>0.5</v>
      </c>
      <c r="D35" s="339"/>
    </row>
    <row r="36" spans="1:4" ht="15" x14ac:dyDescent="0.2">
      <c r="A36" s="307"/>
      <c r="B36" s="913" t="s">
        <v>301</v>
      </c>
      <c r="C36" s="914"/>
      <c r="D36" s="915"/>
    </row>
    <row r="37" spans="1:4" x14ac:dyDescent="0.2">
      <c r="A37" s="308"/>
      <c r="B37" s="340" t="s">
        <v>11</v>
      </c>
      <c r="C37" s="342" t="s">
        <v>438</v>
      </c>
      <c r="D37" s="661"/>
    </row>
    <row r="38" spans="1:4" x14ac:dyDescent="0.2">
      <c r="A38" s="308"/>
      <c r="B38" s="337" t="s">
        <v>138</v>
      </c>
      <c r="C38" s="338" t="s">
        <v>438</v>
      </c>
      <c r="D38" s="339"/>
    </row>
    <row r="39" spans="1:4" ht="15" x14ac:dyDescent="0.2">
      <c r="A39" s="307"/>
      <c r="B39" s="913" t="s">
        <v>300</v>
      </c>
      <c r="C39" s="914"/>
      <c r="D39" s="915"/>
    </row>
    <row r="40" spans="1:4" ht="25.5" x14ac:dyDescent="0.2">
      <c r="A40" s="308"/>
      <c r="B40" s="334" t="s">
        <v>140</v>
      </c>
      <c r="C40" s="335">
        <v>0.5</v>
      </c>
      <c r="D40" s="336" t="s">
        <v>444</v>
      </c>
    </row>
    <row r="41" spans="1:4" ht="25.5" x14ac:dyDescent="0.2">
      <c r="A41" s="308"/>
      <c r="B41" s="340" t="s">
        <v>141</v>
      </c>
      <c r="C41" s="342">
        <v>0.5</v>
      </c>
      <c r="D41" s="662" t="s">
        <v>444</v>
      </c>
    </row>
    <row r="42" spans="1:4" x14ac:dyDescent="0.2">
      <c r="A42" s="308"/>
      <c r="B42" s="340" t="s">
        <v>143</v>
      </c>
      <c r="C42" s="342">
        <v>0</v>
      </c>
      <c r="D42" s="662"/>
    </row>
    <row r="43" spans="1:4" x14ac:dyDescent="0.2">
      <c r="A43" s="308"/>
      <c r="B43" s="337" t="s">
        <v>10</v>
      </c>
      <c r="C43" s="338">
        <v>0</v>
      </c>
      <c r="D43" s="339"/>
    </row>
    <row r="44" spans="1:4" x14ac:dyDescent="0.2">
      <c r="A44" s="308"/>
      <c r="B44" s="656"/>
      <c r="C44" s="657"/>
      <c r="D44" s="658"/>
    </row>
  </sheetData>
  <sheetProtection password="CF18" sheet="1" objects="1"/>
  <mergeCells count="3">
    <mergeCell ref="B33:D33"/>
    <mergeCell ref="B36:D36"/>
    <mergeCell ref="B39:D39"/>
  </mergeCells>
  <conditionalFormatting sqref="B23:J28">
    <cfRule type="expression" dxfId="44" priority="1" stopIfTrue="1">
      <formula>AND(COLUMN()=COLUMN($B23),$B23=OFFSET($B23,-1,0))</formula>
    </cfRule>
    <cfRule type="expression" dxfId="43" priority="2" stopIfTrue="1">
      <formula>$B23&lt;&gt;OFFSET($B23,-1,0)</formula>
    </cfRule>
  </conditionalFormatting>
  <dataValidations count="1">
    <dataValidation type="list" allowBlank="1" showInputMessage="1" showErrorMessage="1" sqref="E23:E28">
      <formula1>typeIndexSm</formula1>
    </dataValidation>
  </dataValidations>
  <hyperlinks>
    <hyperlink ref="D2" location="'Медиа-Заявка'!R120C3" tooltip="Вернуться на медиа-заявку" display="'Медиа-Заявка'!R120C3"/>
  </hyperlinks>
  <pageMargins left="0.75" right="0.75" top="1" bottom="1" header="0.5" footer="0.5"/>
  <pageSetup paperSize="9" scale="50"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>
    <tabColor rgb="FF92D050"/>
    <pageSetUpPr fitToPage="1"/>
  </sheetPr>
  <dimension ref="A1:J45"/>
  <sheetViews>
    <sheetView showGridLines="0" zoomScale="80" zoomScaleNormal="80" workbookViewId="0"/>
  </sheetViews>
  <sheetFormatPr defaultColWidth="9.140625" defaultRowHeight="12.75" x14ac:dyDescent="0.2"/>
  <cols>
    <col min="1" max="1" width="2.5703125" style="60" customWidth="1"/>
    <col min="2" max="2" width="33" style="60" customWidth="1"/>
    <col min="3" max="3" width="57.140625" style="60" customWidth="1"/>
    <col min="4" max="7" width="15.7109375" style="60" customWidth="1"/>
    <col min="8" max="9" width="15.7109375" style="253" customWidth="1"/>
    <col min="10" max="10" width="43.42578125" style="60" customWidth="1"/>
    <col min="11" max="16384" width="9.140625" style="60"/>
  </cols>
  <sheetData>
    <row r="1" spans="2:10" x14ac:dyDescent="0.2">
      <c r="J1" s="253"/>
    </row>
    <row r="2" spans="2:10" ht="18" x14ac:dyDescent="0.2">
      <c r="B2" s="76" t="s">
        <v>24</v>
      </c>
      <c r="C2" s="12"/>
      <c r="D2" s="574" t="str">
        <f>СПЛИТ!$B$3</f>
        <v>Версия прайс-листа: 23.09.2013</v>
      </c>
    </row>
    <row r="3" spans="2:10" x14ac:dyDescent="0.2">
      <c r="B3" s="3" t="s">
        <v>198</v>
      </c>
      <c r="C3" s="4"/>
    </row>
    <row r="5" spans="2:10" x14ac:dyDescent="0.2">
      <c r="B5" s="6" t="s">
        <v>303</v>
      </c>
      <c r="C5" s="4"/>
      <c r="D5" s="4"/>
      <c r="E5" s="4"/>
    </row>
    <row r="6" spans="2:10" x14ac:dyDescent="0.2">
      <c r="B6" s="328" t="s">
        <v>89</v>
      </c>
      <c r="C6" s="328" t="s">
        <v>286</v>
      </c>
    </row>
    <row r="7" spans="2:10" x14ac:dyDescent="0.2">
      <c r="B7" s="9" t="s">
        <v>79</v>
      </c>
      <c r="C7" s="285">
        <v>0.8</v>
      </c>
      <c r="D7" s="304"/>
    </row>
    <row r="8" spans="2:10" x14ac:dyDescent="0.2">
      <c r="B8" s="10" t="s">
        <v>80</v>
      </c>
      <c r="C8" s="286">
        <v>0.9</v>
      </c>
      <c r="D8" s="304"/>
    </row>
    <row r="9" spans="2:10" x14ac:dyDescent="0.2">
      <c r="B9" s="10" t="s">
        <v>81</v>
      </c>
      <c r="C9" s="286">
        <v>1</v>
      </c>
      <c r="D9" s="304"/>
    </row>
    <row r="10" spans="2:10" x14ac:dyDescent="0.2">
      <c r="B10" s="10" t="s">
        <v>82</v>
      </c>
      <c r="C10" s="286">
        <v>1</v>
      </c>
      <c r="D10" s="304"/>
    </row>
    <row r="11" spans="2:10" x14ac:dyDescent="0.2">
      <c r="B11" s="10" t="s">
        <v>83</v>
      </c>
      <c r="C11" s="286">
        <v>1</v>
      </c>
      <c r="D11" s="304"/>
    </row>
    <row r="12" spans="2:10" x14ac:dyDescent="0.2">
      <c r="B12" s="10" t="s">
        <v>84</v>
      </c>
      <c r="C12" s="286">
        <v>1</v>
      </c>
      <c r="D12" s="304"/>
    </row>
    <row r="13" spans="2:10" x14ac:dyDescent="0.2">
      <c r="B13" s="10" t="s">
        <v>85</v>
      </c>
      <c r="C13" s="286">
        <v>0.9</v>
      </c>
      <c r="D13" s="304"/>
    </row>
    <row r="14" spans="2:10" x14ac:dyDescent="0.2">
      <c r="B14" s="10" t="s">
        <v>74</v>
      </c>
      <c r="C14" s="286">
        <v>0.9</v>
      </c>
      <c r="D14" s="304"/>
    </row>
    <row r="15" spans="2:10" x14ac:dyDescent="0.2">
      <c r="B15" s="10" t="s">
        <v>75</v>
      </c>
      <c r="C15" s="286">
        <v>1.3</v>
      </c>
      <c r="D15" s="304"/>
    </row>
    <row r="16" spans="2:10" x14ac:dyDescent="0.2">
      <c r="B16" s="10" t="s">
        <v>86</v>
      </c>
      <c r="C16" s="286">
        <v>1.3</v>
      </c>
      <c r="D16" s="304"/>
    </row>
    <row r="17" spans="1:10" x14ac:dyDescent="0.2">
      <c r="B17" s="10" t="s">
        <v>87</v>
      </c>
      <c r="C17" s="286">
        <v>1.3</v>
      </c>
      <c r="D17" s="304"/>
    </row>
    <row r="18" spans="1:10" x14ac:dyDescent="0.2">
      <c r="B18" s="11" t="s">
        <v>88</v>
      </c>
      <c r="C18" s="287">
        <v>1.3</v>
      </c>
      <c r="D18" s="304"/>
    </row>
    <row r="19" spans="1:10" s="304" customFormat="1" x14ac:dyDescent="0.2">
      <c r="B19" s="15"/>
      <c r="C19" s="16"/>
      <c r="H19" s="306"/>
      <c r="I19" s="306"/>
    </row>
    <row r="21" spans="1:10" x14ac:dyDescent="0.2">
      <c r="B21" s="6"/>
    </row>
    <row r="22" spans="1:10" ht="44.25" customHeight="1" x14ac:dyDescent="0.55000000000000004">
      <c r="A22" s="319"/>
      <c r="B22" s="320" t="s">
        <v>278</v>
      </c>
      <c r="C22" s="320" t="s">
        <v>279</v>
      </c>
      <c r="D22" s="320" t="s">
        <v>275</v>
      </c>
      <c r="E22" s="320" t="s">
        <v>280</v>
      </c>
      <c r="F22" s="321" t="s">
        <v>395</v>
      </c>
      <c r="G22" s="321" t="s">
        <v>111</v>
      </c>
      <c r="H22" s="322" t="s">
        <v>282</v>
      </c>
      <c r="I22" s="322" t="s">
        <v>283</v>
      </c>
      <c r="J22" s="321" t="s">
        <v>285</v>
      </c>
    </row>
    <row r="23" spans="1:10" ht="25.5" x14ac:dyDescent="0.2">
      <c r="B23" s="792" t="s">
        <v>180</v>
      </c>
      <c r="C23" s="793" t="s">
        <v>174</v>
      </c>
      <c r="D23" s="794">
        <v>427500</v>
      </c>
      <c r="E23" s="795" t="s">
        <v>96</v>
      </c>
      <c r="F23" s="794">
        <v>450</v>
      </c>
      <c r="G23" s="796">
        <f>D23/F23</f>
        <v>950</v>
      </c>
      <c r="H23" s="797" t="s">
        <v>103</v>
      </c>
      <c r="I23" s="797" t="s">
        <v>136</v>
      </c>
      <c r="J23" s="798"/>
    </row>
    <row r="24" spans="1:10" ht="25.5" x14ac:dyDescent="0.2">
      <c r="B24" s="298" t="s">
        <v>181</v>
      </c>
      <c r="C24" s="288" t="s">
        <v>175</v>
      </c>
      <c r="D24" s="290">
        <v>382500</v>
      </c>
      <c r="E24" s="289" t="s">
        <v>96</v>
      </c>
      <c r="F24" s="290">
        <v>450</v>
      </c>
      <c r="G24" s="291">
        <f>D24/F24</f>
        <v>850</v>
      </c>
      <c r="H24" s="296" t="s">
        <v>103</v>
      </c>
      <c r="I24" s="296" t="s">
        <v>136</v>
      </c>
      <c r="J24" s="299"/>
    </row>
    <row r="25" spans="1:10" x14ac:dyDescent="0.2">
      <c r="B25" s="298" t="s">
        <v>182</v>
      </c>
      <c r="C25" s="288" t="s">
        <v>176</v>
      </c>
      <c r="D25" s="290">
        <v>150000</v>
      </c>
      <c r="E25" s="289" t="s">
        <v>96</v>
      </c>
      <c r="F25" s="290">
        <v>200</v>
      </c>
      <c r="G25" s="291">
        <f>D25/F25</f>
        <v>750</v>
      </c>
      <c r="H25" s="296" t="s">
        <v>103</v>
      </c>
      <c r="I25" s="296" t="s">
        <v>136</v>
      </c>
      <c r="J25" s="299"/>
    </row>
    <row r="26" spans="1:10" x14ac:dyDescent="0.2">
      <c r="B26" s="298" t="s">
        <v>53</v>
      </c>
      <c r="C26" s="288" t="s">
        <v>177</v>
      </c>
      <c r="D26" s="290">
        <v>504000</v>
      </c>
      <c r="E26" s="289" t="s">
        <v>96</v>
      </c>
      <c r="F26" s="290">
        <v>700</v>
      </c>
      <c r="G26" s="291">
        <f t="shared" ref="G26:G29" si="0">D26/F26</f>
        <v>720</v>
      </c>
      <c r="H26" s="296" t="s">
        <v>103</v>
      </c>
      <c r="I26" s="296" t="s">
        <v>136</v>
      </c>
      <c r="J26" s="299"/>
    </row>
    <row r="27" spans="1:10" ht="25.5" x14ac:dyDescent="0.2">
      <c r="B27" s="298" t="s">
        <v>188</v>
      </c>
      <c r="C27" s="288" t="s">
        <v>190</v>
      </c>
      <c r="D27" s="290">
        <v>300000</v>
      </c>
      <c r="E27" s="289" t="s">
        <v>102</v>
      </c>
      <c r="F27" s="290">
        <v>3000</v>
      </c>
      <c r="G27" s="291">
        <f t="shared" si="0"/>
        <v>100</v>
      </c>
      <c r="H27" s="296" t="s">
        <v>103</v>
      </c>
      <c r="I27" s="296" t="s">
        <v>103</v>
      </c>
      <c r="J27" s="299" t="s">
        <v>423</v>
      </c>
    </row>
    <row r="28" spans="1:10" ht="25.5" x14ac:dyDescent="0.2">
      <c r="B28" s="298" t="s">
        <v>53</v>
      </c>
      <c r="C28" s="288" t="s">
        <v>466</v>
      </c>
      <c r="D28" s="290">
        <v>1400</v>
      </c>
      <c r="E28" s="289" t="s">
        <v>101</v>
      </c>
      <c r="F28" s="290">
        <v>1</v>
      </c>
      <c r="G28" s="291">
        <f t="shared" si="0"/>
        <v>1400</v>
      </c>
      <c r="H28" s="296" t="s">
        <v>103</v>
      </c>
      <c r="I28" s="296" t="s">
        <v>136</v>
      </c>
      <c r="J28" s="299" t="s">
        <v>189</v>
      </c>
    </row>
    <row r="29" spans="1:10" x14ac:dyDescent="0.2">
      <c r="B29" s="799" t="s">
        <v>158</v>
      </c>
      <c r="C29" s="800" t="s">
        <v>365</v>
      </c>
      <c r="D29" s="801">
        <v>3500</v>
      </c>
      <c r="E29" s="802" t="s">
        <v>101</v>
      </c>
      <c r="F29" s="801">
        <v>1</v>
      </c>
      <c r="G29" s="803">
        <f t="shared" si="0"/>
        <v>3500</v>
      </c>
      <c r="H29" s="804" t="s">
        <v>103</v>
      </c>
      <c r="I29" s="804" t="s">
        <v>103</v>
      </c>
      <c r="J29" s="805"/>
    </row>
    <row r="30" spans="1:10" ht="25.5" x14ac:dyDescent="0.2">
      <c r="B30" s="799" t="s">
        <v>158</v>
      </c>
      <c r="C30" s="800" t="s">
        <v>938</v>
      </c>
      <c r="D30" s="801">
        <v>720000</v>
      </c>
      <c r="E30" s="802" t="s">
        <v>102</v>
      </c>
      <c r="F30" s="801">
        <v>500</v>
      </c>
      <c r="G30" s="803">
        <f t="shared" ref="G30" si="1">D30/F30</f>
        <v>1440</v>
      </c>
      <c r="H30" s="804" t="s">
        <v>103</v>
      </c>
      <c r="I30" s="804" t="s">
        <v>103</v>
      </c>
      <c r="J30" s="805" t="s">
        <v>939</v>
      </c>
    </row>
    <row r="31" spans="1:10" x14ac:dyDescent="0.2">
      <c r="B31" s="323" t="s">
        <v>288</v>
      </c>
      <c r="C31" s="324"/>
      <c r="D31" s="325"/>
      <c r="E31" s="325"/>
      <c r="F31" s="325"/>
      <c r="G31" s="325"/>
      <c r="H31" s="326"/>
      <c r="I31" s="326"/>
      <c r="J31" s="327"/>
    </row>
    <row r="34" spans="1:4" x14ac:dyDescent="0.2">
      <c r="B34" s="6" t="s">
        <v>302</v>
      </c>
    </row>
    <row r="35" spans="1:4" ht="15" x14ac:dyDescent="0.2">
      <c r="A35" s="307"/>
      <c r="B35" s="913" t="s">
        <v>304</v>
      </c>
      <c r="C35" s="914"/>
      <c r="D35" s="915"/>
    </row>
    <row r="36" spans="1:4" x14ac:dyDescent="0.2">
      <c r="A36" s="308"/>
      <c r="B36" s="77" t="s">
        <v>3</v>
      </c>
      <c r="C36" s="78">
        <v>0.3</v>
      </c>
      <c r="D36" s="79"/>
    </row>
    <row r="37" spans="1:4" ht="54.75" customHeight="1" x14ac:dyDescent="0.2">
      <c r="A37" s="308"/>
      <c r="B37" s="83" t="s">
        <v>562</v>
      </c>
      <c r="C37" s="84">
        <v>0.5</v>
      </c>
      <c r="D37" s="86"/>
    </row>
    <row r="38" spans="1:4" ht="15" x14ac:dyDescent="0.2">
      <c r="A38" s="307"/>
      <c r="B38" s="913" t="s">
        <v>301</v>
      </c>
      <c r="C38" s="914"/>
      <c r="D38" s="915"/>
    </row>
    <row r="39" spans="1:4" x14ac:dyDescent="0.2">
      <c r="B39" s="80" t="s">
        <v>137</v>
      </c>
      <c r="C39" s="81">
        <v>0</v>
      </c>
      <c r="D39" s="82"/>
    </row>
    <row r="40" spans="1:4" x14ac:dyDescent="0.2">
      <c r="B40" s="80" t="s">
        <v>138</v>
      </c>
      <c r="C40" s="81">
        <v>0</v>
      </c>
      <c r="D40" s="82"/>
    </row>
    <row r="41" spans="1:4" ht="15" x14ac:dyDescent="0.2">
      <c r="A41" s="307"/>
      <c r="B41" s="913" t="s">
        <v>300</v>
      </c>
      <c r="C41" s="914"/>
      <c r="D41" s="915"/>
    </row>
    <row r="42" spans="1:4" x14ac:dyDescent="0.2">
      <c r="A42" s="308"/>
      <c r="B42" s="77" t="s">
        <v>141</v>
      </c>
      <c r="C42" s="78">
        <v>0.5</v>
      </c>
      <c r="D42" s="79"/>
    </row>
    <row r="43" spans="1:4" x14ac:dyDescent="0.2">
      <c r="A43" s="308"/>
      <c r="B43" s="80" t="s">
        <v>54</v>
      </c>
      <c r="C43" s="81">
        <v>0.7</v>
      </c>
      <c r="D43" s="82"/>
    </row>
    <row r="44" spans="1:4" x14ac:dyDescent="0.2">
      <c r="A44" s="308"/>
      <c r="B44" s="80" t="s">
        <v>10</v>
      </c>
      <c r="C44" s="81">
        <v>0</v>
      </c>
      <c r="D44" s="82"/>
    </row>
    <row r="45" spans="1:4" x14ac:dyDescent="0.2">
      <c r="A45" s="308"/>
      <c r="B45" s="83" t="s">
        <v>143</v>
      </c>
      <c r="C45" s="84">
        <v>0</v>
      </c>
      <c r="D45" s="86"/>
    </row>
  </sheetData>
  <sheetProtection password="CF18" sheet="1" objects="1"/>
  <mergeCells count="3">
    <mergeCell ref="B38:D38"/>
    <mergeCell ref="B41:D41"/>
    <mergeCell ref="B35:D35"/>
  </mergeCells>
  <phoneticPr fontId="2" type="noConversion"/>
  <conditionalFormatting sqref="B23:J30">
    <cfRule type="expression" dxfId="42" priority="1" stopIfTrue="1">
      <formula>AND(COLUMN()=COLUMN($B23),$B23=OFFSET($B23,-1,0))</formula>
    </cfRule>
    <cfRule type="expression" dxfId="41" priority="2" stopIfTrue="1">
      <formula>$B23&lt;&gt;OFFSET($B23,-1,0)</formula>
    </cfRule>
  </conditionalFormatting>
  <dataValidations count="1">
    <dataValidation type="list" allowBlank="1" showInputMessage="1" showErrorMessage="1" sqref="E23:E30">
      <formula1>typeIndexSm</formula1>
    </dataValidation>
  </dataValidations>
  <hyperlinks>
    <hyperlink ref="D2" location="'Медиа-Заявка'!R127C3" tooltip="Вернуться на медиа-заявку" display="'Медиа-Заявка'!R127C3"/>
  </hyperlinks>
  <pageMargins left="0.75" right="0.75" top="1" bottom="1" header="0.5" footer="0.5"/>
  <pageSetup paperSize="9" scale="55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>
    <tabColor rgb="FF92D050"/>
    <pageSetUpPr fitToPage="1"/>
  </sheetPr>
  <dimension ref="A1:J49"/>
  <sheetViews>
    <sheetView showGridLines="0" zoomScale="80" zoomScaleNormal="80" workbookViewId="0"/>
  </sheetViews>
  <sheetFormatPr defaultColWidth="9.140625" defaultRowHeight="12.75" x14ac:dyDescent="0.2"/>
  <cols>
    <col min="1" max="1" width="2.5703125" style="60" customWidth="1"/>
    <col min="2" max="2" width="33" style="60" customWidth="1"/>
    <col min="3" max="3" width="57.140625" style="60" customWidth="1"/>
    <col min="4" max="7" width="15.7109375" style="60" customWidth="1"/>
    <col min="8" max="9" width="15.7109375" style="253" customWidth="1"/>
    <col min="10" max="10" width="46.28515625" style="60" customWidth="1"/>
    <col min="11" max="16384" width="9.140625" style="60"/>
  </cols>
  <sheetData>
    <row r="1" spans="2:10" x14ac:dyDescent="0.2">
      <c r="J1" s="253"/>
    </row>
    <row r="2" spans="2:10" ht="18" x14ac:dyDescent="0.2">
      <c r="B2" s="76" t="s">
        <v>19</v>
      </c>
      <c r="C2" s="12"/>
      <c r="D2" s="574" t="str">
        <f>СПЛИТ!$B$3</f>
        <v>Версия прайс-листа: 23.09.2013</v>
      </c>
    </row>
    <row r="3" spans="2:10" x14ac:dyDescent="0.2">
      <c r="B3" s="3" t="s">
        <v>198</v>
      </c>
      <c r="C3" s="4"/>
    </row>
    <row r="5" spans="2:10" x14ac:dyDescent="0.2">
      <c r="B5" s="6" t="s">
        <v>303</v>
      </c>
      <c r="C5" s="4"/>
      <c r="D5" s="4"/>
      <c r="E5" s="4"/>
    </row>
    <row r="6" spans="2:10" x14ac:dyDescent="0.2">
      <c r="B6" s="328" t="s">
        <v>89</v>
      </c>
      <c r="C6" s="328" t="s">
        <v>286</v>
      </c>
    </row>
    <row r="7" spans="2:10" x14ac:dyDescent="0.2">
      <c r="B7" s="9" t="s">
        <v>79</v>
      </c>
      <c r="C7" s="285">
        <v>0.8</v>
      </c>
      <c r="D7" s="304"/>
    </row>
    <row r="8" spans="2:10" x14ac:dyDescent="0.2">
      <c r="B8" s="10" t="s">
        <v>80</v>
      </c>
      <c r="C8" s="286">
        <v>0.9</v>
      </c>
      <c r="D8" s="304"/>
    </row>
    <row r="9" spans="2:10" x14ac:dyDescent="0.2">
      <c r="B9" s="10" t="s">
        <v>81</v>
      </c>
      <c r="C9" s="286">
        <v>1</v>
      </c>
      <c r="D9" s="304"/>
    </row>
    <row r="10" spans="2:10" x14ac:dyDescent="0.2">
      <c r="B10" s="10" t="s">
        <v>82</v>
      </c>
      <c r="C10" s="286">
        <v>1</v>
      </c>
      <c r="D10" s="304"/>
    </row>
    <row r="11" spans="2:10" x14ac:dyDescent="0.2">
      <c r="B11" s="10" t="s">
        <v>83</v>
      </c>
      <c r="C11" s="286">
        <v>1</v>
      </c>
      <c r="D11" s="304"/>
    </row>
    <row r="12" spans="2:10" x14ac:dyDescent="0.2">
      <c r="B12" s="10" t="s">
        <v>84</v>
      </c>
      <c r="C12" s="286">
        <v>1</v>
      </c>
      <c r="D12" s="304"/>
    </row>
    <row r="13" spans="2:10" x14ac:dyDescent="0.2">
      <c r="B13" s="10" t="s">
        <v>85</v>
      </c>
      <c r="C13" s="286">
        <v>0.9</v>
      </c>
      <c r="D13" s="304"/>
    </row>
    <row r="14" spans="2:10" x14ac:dyDescent="0.2">
      <c r="B14" s="10" t="s">
        <v>74</v>
      </c>
      <c r="C14" s="286">
        <v>0.9</v>
      </c>
      <c r="D14" s="304"/>
    </row>
    <row r="15" spans="2:10" x14ac:dyDescent="0.2">
      <c r="B15" s="10" t="s">
        <v>75</v>
      </c>
      <c r="C15" s="286">
        <v>1.3</v>
      </c>
      <c r="D15" s="304"/>
    </row>
    <row r="16" spans="2:10" x14ac:dyDescent="0.2">
      <c r="B16" s="10" t="s">
        <v>86</v>
      </c>
      <c r="C16" s="286">
        <v>1.3</v>
      </c>
      <c r="D16" s="304"/>
    </row>
    <row r="17" spans="1:10" x14ac:dyDescent="0.2">
      <c r="B17" s="10" t="s">
        <v>87</v>
      </c>
      <c r="C17" s="286">
        <v>1.3</v>
      </c>
      <c r="D17" s="304"/>
    </row>
    <row r="18" spans="1:10" x14ac:dyDescent="0.2">
      <c r="B18" s="11" t="s">
        <v>88</v>
      </c>
      <c r="C18" s="287">
        <v>1.3</v>
      </c>
      <c r="D18" s="304"/>
    </row>
    <row r="19" spans="1:10" s="304" customFormat="1" x14ac:dyDescent="0.2">
      <c r="B19" s="15"/>
      <c r="C19" s="16"/>
      <c r="H19" s="306"/>
      <c r="I19" s="306"/>
    </row>
    <row r="22" spans="1:10" ht="44.25" customHeight="1" x14ac:dyDescent="0.55000000000000004">
      <c r="A22" s="319"/>
      <c r="B22" s="320" t="s">
        <v>278</v>
      </c>
      <c r="C22" s="320" t="s">
        <v>279</v>
      </c>
      <c r="D22" s="320" t="s">
        <v>275</v>
      </c>
      <c r="E22" s="320" t="s">
        <v>280</v>
      </c>
      <c r="F22" s="321" t="s">
        <v>395</v>
      </c>
      <c r="G22" s="321" t="s">
        <v>111</v>
      </c>
      <c r="H22" s="322" t="s">
        <v>282</v>
      </c>
      <c r="I22" s="322" t="s">
        <v>283</v>
      </c>
      <c r="J22" s="321" t="s">
        <v>285</v>
      </c>
    </row>
    <row r="23" spans="1:10" x14ac:dyDescent="0.2">
      <c r="B23" s="298" t="s">
        <v>164</v>
      </c>
      <c r="C23" s="288" t="s">
        <v>389</v>
      </c>
      <c r="D23" s="290">
        <v>350000</v>
      </c>
      <c r="E23" s="289" t="s">
        <v>96</v>
      </c>
      <c r="F23" s="290">
        <v>1000</v>
      </c>
      <c r="G23" s="291">
        <f t="shared" ref="G23:G29" si="0">D23/F23</f>
        <v>350</v>
      </c>
      <c r="H23" s="296" t="s">
        <v>103</v>
      </c>
      <c r="I23" s="296" t="s">
        <v>103</v>
      </c>
      <c r="J23" s="299"/>
    </row>
    <row r="24" spans="1:10" ht="63.75" x14ac:dyDescent="0.2">
      <c r="B24" s="298" t="s">
        <v>578</v>
      </c>
      <c r="C24" s="288" t="s">
        <v>381</v>
      </c>
      <c r="D24" s="290">
        <v>250000</v>
      </c>
      <c r="E24" s="289" t="s">
        <v>96</v>
      </c>
      <c r="F24" s="290">
        <v>500</v>
      </c>
      <c r="G24" s="291">
        <f t="shared" si="0"/>
        <v>500</v>
      </c>
      <c r="H24" s="296" t="s">
        <v>136</v>
      </c>
      <c r="I24" s="296" t="s">
        <v>103</v>
      </c>
      <c r="J24" s="299" t="s">
        <v>165</v>
      </c>
    </row>
    <row r="25" spans="1:10" x14ac:dyDescent="0.2">
      <c r="B25" s="298" t="s">
        <v>164</v>
      </c>
      <c r="C25" s="288" t="s">
        <v>382</v>
      </c>
      <c r="D25" s="290">
        <v>300000</v>
      </c>
      <c r="E25" s="289" t="s">
        <v>96</v>
      </c>
      <c r="F25" s="290">
        <v>500</v>
      </c>
      <c r="G25" s="291">
        <v>600</v>
      </c>
      <c r="H25" s="296" t="s">
        <v>136</v>
      </c>
      <c r="I25" s="296" t="s">
        <v>103</v>
      </c>
      <c r="J25" s="299" t="s">
        <v>166</v>
      </c>
    </row>
    <row r="26" spans="1:10" x14ac:dyDescent="0.2">
      <c r="B26" s="298" t="s">
        <v>164</v>
      </c>
      <c r="C26" s="288" t="s">
        <v>383</v>
      </c>
      <c r="D26" s="290">
        <v>60000</v>
      </c>
      <c r="E26" s="289" t="s">
        <v>96</v>
      </c>
      <c r="F26" s="290">
        <v>100</v>
      </c>
      <c r="G26" s="291">
        <f t="shared" si="0"/>
        <v>600</v>
      </c>
      <c r="H26" s="296" t="s">
        <v>136</v>
      </c>
      <c r="I26" s="296" t="s">
        <v>103</v>
      </c>
      <c r="J26" s="299" t="s">
        <v>167</v>
      </c>
    </row>
    <row r="27" spans="1:10" ht="55.5" customHeight="1" x14ac:dyDescent="0.2">
      <c r="B27" s="298" t="s">
        <v>519</v>
      </c>
      <c r="C27" s="288" t="s">
        <v>385</v>
      </c>
      <c r="D27" s="290">
        <v>775000</v>
      </c>
      <c r="E27" s="289" t="s">
        <v>96</v>
      </c>
      <c r="F27" s="290">
        <v>3100</v>
      </c>
      <c r="G27" s="291">
        <f t="shared" si="0"/>
        <v>250</v>
      </c>
      <c r="H27" s="296" t="s">
        <v>103</v>
      </c>
      <c r="I27" s="296" t="s">
        <v>103</v>
      </c>
      <c r="J27" s="299" t="s">
        <v>518</v>
      </c>
    </row>
    <row r="28" spans="1:10" ht="67.5" customHeight="1" x14ac:dyDescent="0.2">
      <c r="B28" s="298" t="s">
        <v>519</v>
      </c>
      <c r="C28" s="288" t="s">
        <v>384</v>
      </c>
      <c r="D28" s="290">
        <v>525000</v>
      </c>
      <c r="E28" s="289" t="s">
        <v>96</v>
      </c>
      <c r="F28" s="290">
        <v>1500</v>
      </c>
      <c r="G28" s="291">
        <f>D28/F28</f>
        <v>350</v>
      </c>
      <c r="H28" s="296" t="s">
        <v>136</v>
      </c>
      <c r="I28" s="296" t="s">
        <v>103</v>
      </c>
      <c r="J28" s="299" t="s">
        <v>520</v>
      </c>
    </row>
    <row r="29" spans="1:10" ht="54.75" customHeight="1" x14ac:dyDescent="0.2">
      <c r="B29" s="298" t="s">
        <v>519</v>
      </c>
      <c r="C29" s="288" t="s">
        <v>386</v>
      </c>
      <c r="D29" s="290">
        <v>520000</v>
      </c>
      <c r="E29" s="289" t="s">
        <v>96</v>
      </c>
      <c r="F29" s="290">
        <v>1250</v>
      </c>
      <c r="G29" s="291">
        <f t="shared" si="0"/>
        <v>416</v>
      </c>
      <c r="H29" s="296" t="s">
        <v>136</v>
      </c>
      <c r="I29" s="296" t="s">
        <v>103</v>
      </c>
      <c r="J29" s="299" t="s">
        <v>521</v>
      </c>
    </row>
    <row r="30" spans="1:10" ht="38.25" x14ac:dyDescent="0.2">
      <c r="B30" s="298" t="s">
        <v>523</v>
      </c>
      <c r="C30" s="288" t="s">
        <v>387</v>
      </c>
      <c r="D30" s="290">
        <v>90000</v>
      </c>
      <c r="E30" s="289" t="s">
        <v>96</v>
      </c>
      <c r="F30" s="290">
        <v>250</v>
      </c>
      <c r="G30" s="291">
        <f>D30/F30</f>
        <v>360</v>
      </c>
      <c r="H30" s="296" t="s">
        <v>136</v>
      </c>
      <c r="I30" s="296" t="s">
        <v>103</v>
      </c>
      <c r="J30" s="299" t="s">
        <v>522</v>
      </c>
    </row>
    <row r="31" spans="1:10" x14ac:dyDescent="0.2">
      <c r="B31" s="323" t="s">
        <v>288</v>
      </c>
      <c r="C31" s="324"/>
      <c r="D31" s="325"/>
      <c r="E31" s="325"/>
      <c r="F31" s="325"/>
      <c r="G31" s="325"/>
      <c r="H31" s="326"/>
      <c r="I31" s="326"/>
      <c r="J31" s="327"/>
    </row>
    <row r="34" spans="1:4" x14ac:dyDescent="0.2">
      <c r="B34" s="6" t="s">
        <v>302</v>
      </c>
    </row>
    <row r="35" spans="1:4" ht="15" x14ac:dyDescent="0.2">
      <c r="A35" s="307"/>
      <c r="B35" s="913" t="s">
        <v>305</v>
      </c>
      <c r="C35" s="914"/>
      <c r="D35" s="915"/>
    </row>
    <row r="36" spans="1:4" x14ac:dyDescent="0.2">
      <c r="A36" s="308"/>
      <c r="B36" s="61" t="s">
        <v>4</v>
      </c>
      <c r="C36" s="62">
        <v>0.15</v>
      </c>
      <c r="D36" s="70"/>
    </row>
    <row r="37" spans="1:4" ht="15" x14ac:dyDescent="0.2">
      <c r="A37" s="307"/>
      <c r="B37" s="913" t="s">
        <v>304</v>
      </c>
      <c r="C37" s="914"/>
      <c r="D37" s="915"/>
    </row>
    <row r="38" spans="1:4" x14ac:dyDescent="0.2">
      <c r="A38" s="308"/>
      <c r="B38" s="77" t="s">
        <v>3</v>
      </c>
      <c r="C38" s="78">
        <v>0.3</v>
      </c>
      <c r="D38" s="79"/>
    </row>
    <row r="39" spans="1:4" ht="57" customHeight="1" x14ac:dyDescent="0.2">
      <c r="A39" s="308"/>
      <c r="B39" s="83" t="s">
        <v>562</v>
      </c>
      <c r="C39" s="84">
        <v>0.5</v>
      </c>
      <c r="D39" s="86"/>
    </row>
    <row r="40" spans="1:4" ht="15" x14ac:dyDescent="0.2">
      <c r="A40" s="307"/>
      <c r="B40" s="913" t="s">
        <v>301</v>
      </c>
      <c r="C40" s="914"/>
      <c r="D40" s="915"/>
    </row>
    <row r="41" spans="1:4" x14ac:dyDescent="0.2">
      <c r="A41" s="308"/>
      <c r="B41" s="80" t="s">
        <v>32</v>
      </c>
      <c r="C41" s="81">
        <v>0</v>
      </c>
      <c r="D41" s="82"/>
    </row>
    <row r="42" spans="1:4" x14ac:dyDescent="0.2">
      <c r="A42" s="308"/>
      <c r="B42" s="80" t="s">
        <v>137</v>
      </c>
      <c r="C42" s="81">
        <v>0.3</v>
      </c>
      <c r="D42" s="82"/>
    </row>
    <row r="43" spans="1:4" x14ac:dyDescent="0.2">
      <c r="A43" s="308"/>
      <c r="B43" s="80" t="s">
        <v>11</v>
      </c>
      <c r="C43" s="81">
        <v>0</v>
      </c>
      <c r="D43" s="82"/>
    </row>
    <row r="44" spans="1:4" x14ac:dyDescent="0.2">
      <c r="B44" s="80" t="s">
        <v>138</v>
      </c>
      <c r="C44" s="81">
        <v>0</v>
      </c>
      <c r="D44" s="87"/>
    </row>
    <row r="45" spans="1:4" ht="15" x14ac:dyDescent="0.2">
      <c r="A45" s="307"/>
      <c r="B45" s="913" t="s">
        <v>300</v>
      </c>
      <c r="C45" s="914"/>
      <c r="D45" s="915"/>
    </row>
    <row r="46" spans="1:4" x14ac:dyDescent="0.2">
      <c r="A46" s="308"/>
      <c r="B46" s="77" t="s">
        <v>5</v>
      </c>
      <c r="C46" s="78">
        <v>0</v>
      </c>
      <c r="D46" s="79"/>
    </row>
    <row r="47" spans="1:4" x14ac:dyDescent="0.2">
      <c r="A47" s="308"/>
      <c r="B47" s="80" t="s">
        <v>39</v>
      </c>
      <c r="C47" s="81" t="s">
        <v>51</v>
      </c>
      <c r="D47" s="91"/>
    </row>
    <row r="48" spans="1:4" x14ac:dyDescent="0.2">
      <c r="A48" s="308"/>
      <c r="B48" s="80" t="s">
        <v>445</v>
      </c>
      <c r="C48" s="81">
        <v>0</v>
      </c>
      <c r="D48" s="87"/>
    </row>
    <row r="49" spans="2:4" x14ac:dyDescent="0.2">
      <c r="B49" s="83" t="s">
        <v>140</v>
      </c>
      <c r="C49" s="84" t="s">
        <v>51</v>
      </c>
      <c r="D49" s="85"/>
    </row>
  </sheetData>
  <sheetProtection password="CF18" sheet="1" objects="1"/>
  <mergeCells count="4">
    <mergeCell ref="B40:D40"/>
    <mergeCell ref="B45:D45"/>
    <mergeCell ref="B35:D35"/>
    <mergeCell ref="B37:D37"/>
  </mergeCells>
  <phoneticPr fontId="2" type="noConversion"/>
  <conditionalFormatting sqref="B23:J30">
    <cfRule type="expression" dxfId="40" priority="1" stopIfTrue="1">
      <formula>AND(COLUMN()=COLUMN($B23),$B23=OFFSET($B23,-1,0))</formula>
    </cfRule>
    <cfRule type="expression" dxfId="39" priority="2" stopIfTrue="1">
      <formula>$B23&lt;&gt;OFFSET($B23,-1,0)</formula>
    </cfRule>
  </conditionalFormatting>
  <dataValidations count="1">
    <dataValidation type="list" allowBlank="1" showInputMessage="1" showErrorMessage="1" sqref="E23:E30">
      <formula1>typeIndexSm</formula1>
    </dataValidation>
  </dataValidations>
  <hyperlinks>
    <hyperlink ref="D2" location="'Медиа-Заявка'!R136C3" tooltip="Вернуться на медиа-заявку" display="'Медиа-Заявка'!R136C3"/>
  </hyperlinks>
  <pageMargins left="0.75" right="0.75" top="1" bottom="1" header="0.5" footer="0.5"/>
  <pageSetup paperSize="9" scale="45" orientation="landscape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6">
    <tabColor rgb="FF92D050"/>
    <pageSetUpPr fitToPage="1"/>
  </sheetPr>
  <dimension ref="A1:J55"/>
  <sheetViews>
    <sheetView showGridLines="0" zoomScale="80" zoomScaleNormal="80" workbookViewId="0"/>
  </sheetViews>
  <sheetFormatPr defaultColWidth="9.140625" defaultRowHeight="12.75" x14ac:dyDescent="0.2"/>
  <cols>
    <col min="1" max="1" width="2.5703125" style="60" customWidth="1"/>
    <col min="2" max="2" width="33" style="60" customWidth="1"/>
    <col min="3" max="3" width="57.140625" style="60" customWidth="1"/>
    <col min="4" max="7" width="15.7109375" style="60" customWidth="1"/>
    <col min="8" max="9" width="15.7109375" style="253" customWidth="1"/>
    <col min="10" max="10" width="49.5703125" style="60" customWidth="1"/>
    <col min="11" max="11" width="10.28515625" style="60" customWidth="1"/>
    <col min="12" max="16384" width="9.140625" style="60"/>
  </cols>
  <sheetData>
    <row r="1" spans="2:10" x14ac:dyDescent="0.2">
      <c r="J1" s="253"/>
    </row>
    <row r="2" spans="2:10" ht="18" x14ac:dyDescent="0.2">
      <c r="B2" s="12" t="s">
        <v>159</v>
      </c>
      <c r="C2" s="12"/>
      <c r="D2" s="574" t="str">
        <f>СПЛИТ!$B$3</f>
        <v>Версия прайс-листа: 23.09.2013</v>
      </c>
    </row>
    <row r="3" spans="2:10" x14ac:dyDescent="0.2">
      <c r="B3" s="3" t="s">
        <v>198</v>
      </c>
      <c r="C3" s="4"/>
    </row>
    <row r="5" spans="2:10" x14ac:dyDescent="0.2">
      <c r="B5" s="6" t="s">
        <v>303</v>
      </c>
      <c r="C5" s="4"/>
      <c r="D5" s="4"/>
      <c r="E5" s="4"/>
    </row>
    <row r="6" spans="2:10" x14ac:dyDescent="0.2">
      <c r="B6" s="328" t="s">
        <v>89</v>
      </c>
      <c r="C6" s="328" t="s">
        <v>286</v>
      </c>
    </row>
    <row r="7" spans="2:10" x14ac:dyDescent="0.2">
      <c r="B7" s="9" t="s">
        <v>79</v>
      </c>
      <c r="C7" s="285">
        <v>0.8</v>
      </c>
      <c r="D7" s="304"/>
    </row>
    <row r="8" spans="2:10" x14ac:dyDescent="0.2">
      <c r="B8" s="10" t="s">
        <v>80</v>
      </c>
      <c r="C8" s="286">
        <v>0.9</v>
      </c>
      <c r="D8" s="304"/>
    </row>
    <row r="9" spans="2:10" x14ac:dyDescent="0.2">
      <c r="B9" s="10" t="s">
        <v>81</v>
      </c>
      <c r="C9" s="286">
        <v>1</v>
      </c>
      <c r="D9" s="304"/>
    </row>
    <row r="10" spans="2:10" x14ac:dyDescent="0.2">
      <c r="B10" s="10" t="s">
        <v>82</v>
      </c>
      <c r="C10" s="286">
        <v>1</v>
      </c>
      <c r="D10" s="304"/>
    </row>
    <row r="11" spans="2:10" x14ac:dyDescent="0.2">
      <c r="B11" s="10" t="s">
        <v>83</v>
      </c>
      <c r="C11" s="286">
        <v>1</v>
      </c>
      <c r="D11" s="304"/>
    </row>
    <row r="12" spans="2:10" x14ac:dyDescent="0.2">
      <c r="B12" s="10" t="s">
        <v>84</v>
      </c>
      <c r="C12" s="286">
        <v>1</v>
      </c>
      <c r="D12" s="304"/>
    </row>
    <row r="13" spans="2:10" x14ac:dyDescent="0.2">
      <c r="B13" s="10" t="s">
        <v>85</v>
      </c>
      <c r="C13" s="286">
        <v>0.9</v>
      </c>
      <c r="D13" s="304"/>
    </row>
    <row r="14" spans="2:10" x14ac:dyDescent="0.2">
      <c r="B14" s="10" t="s">
        <v>74</v>
      </c>
      <c r="C14" s="286">
        <v>0.9</v>
      </c>
      <c r="D14" s="304"/>
      <c r="E14" s="305"/>
    </row>
    <row r="15" spans="2:10" x14ac:dyDescent="0.2">
      <c r="B15" s="10" t="s">
        <v>75</v>
      </c>
      <c r="C15" s="286">
        <v>1.3</v>
      </c>
      <c r="D15" s="304"/>
      <c r="E15" s="305"/>
    </row>
    <row r="16" spans="2:10" x14ac:dyDescent="0.2">
      <c r="B16" s="10" t="s">
        <v>86</v>
      </c>
      <c r="C16" s="286">
        <v>1.3</v>
      </c>
      <c r="D16" s="304"/>
      <c r="E16" s="305"/>
    </row>
    <row r="17" spans="1:10" x14ac:dyDescent="0.2">
      <c r="B17" s="10" t="s">
        <v>87</v>
      </c>
      <c r="C17" s="286">
        <v>1.3</v>
      </c>
      <c r="D17" s="304"/>
      <c r="E17" s="305"/>
    </row>
    <row r="18" spans="1:10" x14ac:dyDescent="0.2">
      <c r="B18" s="11" t="s">
        <v>88</v>
      </c>
      <c r="C18" s="287">
        <v>1.3</v>
      </c>
      <c r="D18" s="304"/>
    </row>
    <row r="19" spans="1:10" s="304" customFormat="1" x14ac:dyDescent="0.2">
      <c r="B19" s="15"/>
      <c r="C19" s="16"/>
      <c r="H19" s="306"/>
      <c r="I19" s="306"/>
    </row>
    <row r="22" spans="1:10" ht="44.25" customHeight="1" x14ac:dyDescent="0.55000000000000004">
      <c r="A22" s="319"/>
      <c r="B22" s="320" t="s">
        <v>278</v>
      </c>
      <c r="C22" s="320" t="s">
        <v>279</v>
      </c>
      <c r="D22" s="320" t="s">
        <v>275</v>
      </c>
      <c r="E22" s="320" t="s">
        <v>280</v>
      </c>
      <c r="F22" s="321" t="s">
        <v>395</v>
      </c>
      <c r="G22" s="321" t="s">
        <v>111</v>
      </c>
      <c r="H22" s="322" t="s">
        <v>282</v>
      </c>
      <c r="I22" s="322" t="s">
        <v>283</v>
      </c>
      <c r="J22" s="321" t="s">
        <v>285</v>
      </c>
    </row>
    <row r="23" spans="1:10" ht="38.25" x14ac:dyDescent="0.2">
      <c r="B23" s="298" t="s">
        <v>113</v>
      </c>
      <c r="C23" s="288" t="s">
        <v>489</v>
      </c>
      <c r="D23" s="290">
        <v>175000</v>
      </c>
      <c r="E23" s="289" t="s">
        <v>96</v>
      </c>
      <c r="F23" s="290">
        <v>500</v>
      </c>
      <c r="G23" s="291">
        <f t="shared" ref="G23:G30" si="0">D23/F23</f>
        <v>350</v>
      </c>
      <c r="H23" s="296">
        <v>0.25</v>
      </c>
      <c r="I23" s="296" t="s">
        <v>103</v>
      </c>
      <c r="J23" s="299" t="s">
        <v>416</v>
      </c>
    </row>
    <row r="24" spans="1:10" ht="38.25" x14ac:dyDescent="0.2">
      <c r="B24" s="298" t="s">
        <v>113</v>
      </c>
      <c r="C24" s="288" t="s">
        <v>490</v>
      </c>
      <c r="D24" s="290">
        <v>300000</v>
      </c>
      <c r="E24" s="289" t="s">
        <v>96</v>
      </c>
      <c r="F24" s="290">
        <v>1000</v>
      </c>
      <c r="G24" s="291">
        <f>D24/F24</f>
        <v>300</v>
      </c>
      <c r="H24" s="296">
        <v>0.25</v>
      </c>
      <c r="I24" s="296" t="s">
        <v>103</v>
      </c>
      <c r="J24" s="299" t="s">
        <v>416</v>
      </c>
    </row>
    <row r="25" spans="1:10" ht="54.75" customHeight="1" x14ac:dyDescent="0.2">
      <c r="B25" s="298" t="s">
        <v>113</v>
      </c>
      <c r="C25" s="288" t="s">
        <v>491</v>
      </c>
      <c r="D25" s="290">
        <v>500000</v>
      </c>
      <c r="E25" s="289" t="s">
        <v>96</v>
      </c>
      <c r="F25" s="290">
        <v>2000</v>
      </c>
      <c r="G25" s="291">
        <f t="shared" si="0"/>
        <v>250</v>
      </c>
      <c r="H25" s="296">
        <v>0.25</v>
      </c>
      <c r="I25" s="296" t="s">
        <v>103</v>
      </c>
      <c r="J25" s="299" t="s">
        <v>401</v>
      </c>
    </row>
    <row r="26" spans="1:10" x14ac:dyDescent="0.2">
      <c r="B26" s="298" t="s">
        <v>113</v>
      </c>
      <c r="C26" s="288" t="s">
        <v>435</v>
      </c>
      <c r="D26" s="290">
        <v>140000</v>
      </c>
      <c r="E26" s="289" t="s">
        <v>96</v>
      </c>
      <c r="F26" s="290">
        <v>500</v>
      </c>
      <c r="G26" s="291">
        <f t="shared" si="0"/>
        <v>280</v>
      </c>
      <c r="H26" s="296">
        <v>0</v>
      </c>
      <c r="I26" s="296" t="s">
        <v>103</v>
      </c>
      <c r="J26" s="299" t="s">
        <v>162</v>
      </c>
    </row>
    <row r="27" spans="1:10" x14ac:dyDescent="0.2">
      <c r="B27" s="298" t="s">
        <v>113</v>
      </c>
      <c r="C27" s="288" t="s">
        <v>214</v>
      </c>
      <c r="D27" s="290">
        <v>240000</v>
      </c>
      <c r="E27" s="289" t="s">
        <v>96</v>
      </c>
      <c r="F27" s="290">
        <v>1000</v>
      </c>
      <c r="G27" s="291">
        <f>D27/F27</f>
        <v>240</v>
      </c>
      <c r="H27" s="296">
        <v>0</v>
      </c>
      <c r="I27" s="296" t="s">
        <v>103</v>
      </c>
      <c r="J27" s="299" t="s">
        <v>162</v>
      </c>
    </row>
    <row r="28" spans="1:10" x14ac:dyDescent="0.2">
      <c r="B28" s="298" t="s">
        <v>113</v>
      </c>
      <c r="C28" s="288" t="s">
        <v>492</v>
      </c>
      <c r="D28" s="290">
        <v>400000</v>
      </c>
      <c r="E28" s="289" t="s">
        <v>96</v>
      </c>
      <c r="F28" s="290">
        <v>2000</v>
      </c>
      <c r="G28" s="291">
        <f>D28/F28</f>
        <v>200</v>
      </c>
      <c r="H28" s="296">
        <v>0</v>
      </c>
      <c r="I28" s="296" t="s">
        <v>103</v>
      </c>
      <c r="J28" s="299" t="s">
        <v>436</v>
      </c>
    </row>
    <row r="29" spans="1:10" ht="38.25" x14ac:dyDescent="0.2">
      <c r="B29" s="298" t="s">
        <v>113</v>
      </c>
      <c r="C29" s="288" t="s">
        <v>493</v>
      </c>
      <c r="D29" s="290">
        <v>140000</v>
      </c>
      <c r="E29" s="289" t="s">
        <v>96</v>
      </c>
      <c r="F29" s="290">
        <v>500</v>
      </c>
      <c r="G29" s="291">
        <f>D29/F29</f>
        <v>280</v>
      </c>
      <c r="H29" s="296">
        <v>0</v>
      </c>
      <c r="I29" s="296" t="s">
        <v>103</v>
      </c>
      <c r="J29" s="299" t="s">
        <v>416</v>
      </c>
    </row>
    <row r="30" spans="1:10" ht="38.25" x14ac:dyDescent="0.2">
      <c r="B30" s="298" t="s">
        <v>113</v>
      </c>
      <c r="C30" s="288" t="s">
        <v>494</v>
      </c>
      <c r="D30" s="290">
        <v>240000</v>
      </c>
      <c r="E30" s="289" t="s">
        <v>96</v>
      </c>
      <c r="F30" s="290">
        <v>1000</v>
      </c>
      <c r="G30" s="291">
        <f t="shared" si="0"/>
        <v>240</v>
      </c>
      <c r="H30" s="296">
        <v>0</v>
      </c>
      <c r="I30" s="296" t="s">
        <v>103</v>
      </c>
      <c r="J30" s="299" t="s">
        <v>416</v>
      </c>
    </row>
    <row r="31" spans="1:10" ht="54.75" customHeight="1" x14ac:dyDescent="0.2">
      <c r="B31" s="298" t="s">
        <v>113</v>
      </c>
      <c r="C31" s="288" t="s">
        <v>495</v>
      </c>
      <c r="D31" s="290">
        <v>400000</v>
      </c>
      <c r="E31" s="289" t="s">
        <v>96</v>
      </c>
      <c r="F31" s="290">
        <v>2000</v>
      </c>
      <c r="G31" s="291">
        <f>D31/F31</f>
        <v>200</v>
      </c>
      <c r="H31" s="296">
        <v>0</v>
      </c>
      <c r="I31" s="296" t="s">
        <v>103</v>
      </c>
      <c r="J31" s="299" t="s">
        <v>401</v>
      </c>
    </row>
    <row r="32" spans="1:10" x14ac:dyDescent="0.2">
      <c r="B32" s="298" t="s">
        <v>243</v>
      </c>
      <c r="C32" s="288" t="s">
        <v>558</v>
      </c>
      <c r="D32" s="290">
        <v>250000</v>
      </c>
      <c r="E32" s="289" t="s">
        <v>102</v>
      </c>
      <c r="F32" s="290">
        <v>5000</v>
      </c>
      <c r="G32" s="291">
        <f>D32/F32</f>
        <v>50</v>
      </c>
      <c r="H32" s="296" t="s">
        <v>103</v>
      </c>
      <c r="I32" s="296" t="s">
        <v>103</v>
      </c>
      <c r="J32" s="299" t="s">
        <v>162</v>
      </c>
    </row>
    <row r="33" spans="1:10" x14ac:dyDescent="0.2">
      <c r="B33" s="298" t="s">
        <v>113</v>
      </c>
      <c r="C33" s="288" t="s">
        <v>30</v>
      </c>
      <c r="D33" s="290">
        <v>2000</v>
      </c>
      <c r="E33" s="289" t="s">
        <v>101</v>
      </c>
      <c r="F33" s="290">
        <v>1</v>
      </c>
      <c r="G33" s="291">
        <f>D33*F33</f>
        <v>2000</v>
      </c>
      <c r="H33" s="296" t="s">
        <v>103</v>
      </c>
      <c r="I33" s="296" t="s">
        <v>136</v>
      </c>
      <c r="J33" s="299"/>
    </row>
    <row r="34" spans="1:10" x14ac:dyDescent="0.2">
      <c r="B34" s="323" t="s">
        <v>288</v>
      </c>
      <c r="C34" s="324"/>
      <c r="D34" s="325"/>
      <c r="E34" s="325"/>
      <c r="F34" s="325"/>
      <c r="G34" s="325"/>
      <c r="H34" s="326"/>
      <c r="I34" s="326"/>
      <c r="J34" s="327"/>
    </row>
    <row r="37" spans="1:10" x14ac:dyDescent="0.2">
      <c r="B37" s="6" t="s">
        <v>302</v>
      </c>
    </row>
    <row r="38" spans="1:10" ht="15" x14ac:dyDescent="0.2">
      <c r="A38" s="307"/>
      <c r="B38" s="913" t="s">
        <v>305</v>
      </c>
      <c r="C38" s="914"/>
      <c r="D38" s="915"/>
    </row>
    <row r="39" spans="1:10" ht="25.5" x14ac:dyDescent="0.2">
      <c r="A39" s="308"/>
      <c r="B39" s="61" t="s">
        <v>513</v>
      </c>
      <c r="C39" s="62">
        <v>0.15</v>
      </c>
      <c r="D39" s="70" t="s">
        <v>178</v>
      </c>
    </row>
    <row r="40" spans="1:10" ht="15" x14ac:dyDescent="0.2">
      <c r="A40" s="307"/>
      <c r="B40" s="913" t="s">
        <v>304</v>
      </c>
      <c r="C40" s="914"/>
      <c r="D40" s="915"/>
    </row>
    <row r="41" spans="1:10" x14ac:dyDescent="0.2">
      <c r="A41" s="308"/>
      <c r="B41" s="77" t="s">
        <v>3</v>
      </c>
      <c r="C41" s="78">
        <v>0.3</v>
      </c>
      <c r="D41" s="79"/>
    </row>
    <row r="42" spans="1:10" ht="54.75" customHeight="1" x14ac:dyDescent="0.2">
      <c r="A42" s="308"/>
      <c r="B42" s="83" t="s">
        <v>562</v>
      </c>
      <c r="C42" s="84">
        <v>0.5</v>
      </c>
      <c r="D42" s="86"/>
    </row>
    <row r="43" spans="1:10" ht="15" x14ac:dyDescent="0.2">
      <c r="A43" s="307"/>
      <c r="B43" s="913" t="s">
        <v>301</v>
      </c>
      <c r="C43" s="914"/>
      <c r="D43" s="915"/>
    </row>
    <row r="44" spans="1:10" x14ac:dyDescent="0.2">
      <c r="B44" s="80" t="s">
        <v>138</v>
      </c>
      <c r="C44" s="81">
        <v>0</v>
      </c>
      <c r="D44" s="82"/>
    </row>
    <row r="45" spans="1:10" x14ac:dyDescent="0.2">
      <c r="B45" s="83" t="s">
        <v>8</v>
      </c>
      <c r="C45" s="84">
        <v>0</v>
      </c>
      <c r="D45" s="86"/>
    </row>
    <row r="46" spans="1:10" ht="15" x14ac:dyDescent="0.2">
      <c r="A46" s="307"/>
      <c r="B46" s="913" t="s">
        <v>300</v>
      </c>
      <c r="C46" s="914"/>
      <c r="D46" s="915"/>
    </row>
    <row r="47" spans="1:10" x14ac:dyDescent="0.2">
      <c r="A47" s="308"/>
      <c r="B47" s="77" t="s">
        <v>140</v>
      </c>
      <c r="C47" s="78">
        <v>0.5</v>
      </c>
      <c r="D47" s="79"/>
    </row>
    <row r="48" spans="1:10" x14ac:dyDescent="0.2">
      <c r="A48" s="308"/>
      <c r="B48" s="80" t="s">
        <v>5</v>
      </c>
      <c r="C48" s="81">
        <v>0</v>
      </c>
      <c r="D48" s="82"/>
    </row>
    <row r="49" spans="2:4" x14ac:dyDescent="0.2">
      <c r="B49" s="80" t="s">
        <v>9</v>
      </c>
      <c r="C49" s="81">
        <v>0</v>
      </c>
      <c r="D49" s="82"/>
    </row>
    <row r="50" spans="2:4" x14ac:dyDescent="0.2">
      <c r="B50" s="80" t="s">
        <v>35</v>
      </c>
      <c r="C50" s="81">
        <v>0</v>
      </c>
      <c r="D50" s="82"/>
    </row>
    <row r="51" spans="2:4" x14ac:dyDescent="0.2">
      <c r="B51" s="80" t="s">
        <v>36</v>
      </c>
      <c r="C51" s="81" t="s">
        <v>446</v>
      </c>
      <c r="D51" s="91"/>
    </row>
    <row r="52" spans="2:4" x14ac:dyDescent="0.2">
      <c r="B52" s="80" t="s">
        <v>38</v>
      </c>
      <c r="C52" s="81">
        <v>0.35</v>
      </c>
      <c r="D52" s="91"/>
    </row>
    <row r="53" spans="2:4" x14ac:dyDescent="0.2">
      <c r="B53" s="80" t="s">
        <v>143</v>
      </c>
      <c r="C53" s="81">
        <v>0</v>
      </c>
      <c r="D53" s="82"/>
    </row>
    <row r="54" spans="2:4" x14ac:dyDescent="0.2">
      <c r="B54" s="83" t="s">
        <v>141</v>
      </c>
      <c r="C54" s="84">
        <v>0.5</v>
      </c>
      <c r="D54" s="86"/>
    </row>
    <row r="55" spans="2:4" x14ac:dyDescent="0.2">
      <c r="B55" s="948" t="s">
        <v>561</v>
      </c>
      <c r="C55" s="949"/>
      <c r="D55" s="950"/>
    </row>
  </sheetData>
  <sheetProtection password="CF18" sheet="1" objects="1"/>
  <mergeCells count="5">
    <mergeCell ref="B43:D43"/>
    <mergeCell ref="B46:D46"/>
    <mergeCell ref="B38:D38"/>
    <mergeCell ref="B40:D40"/>
    <mergeCell ref="B55:D55"/>
  </mergeCells>
  <phoneticPr fontId="2" type="noConversion"/>
  <conditionalFormatting sqref="B23:J33">
    <cfRule type="expression" dxfId="38" priority="1" stopIfTrue="1">
      <formula>AND(COLUMN()=COLUMN($B23),$B23=OFFSET($B23,-1,0))</formula>
    </cfRule>
    <cfRule type="expression" dxfId="37" priority="2" stopIfTrue="1">
      <formula>$B23&lt;&gt;OFFSET($B23,-1,0)</formula>
    </cfRule>
  </conditionalFormatting>
  <dataValidations count="1">
    <dataValidation type="list" allowBlank="1" showInputMessage="1" showErrorMessage="1" sqref="E23:E33">
      <formula1>typeIndexSm</formula1>
    </dataValidation>
  </dataValidations>
  <hyperlinks>
    <hyperlink ref="D2" location="'Медиа-Заявка'!R145C3" tooltip="Вернуться на медиа-заявку" display="'Медиа-Заявка'!R145C3"/>
  </hyperlinks>
  <pageMargins left="0.75" right="0.75" top="1" bottom="1" header="0.5" footer="0.5"/>
  <pageSetup paperSize="9" scale="41" orientation="landscape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0">
    <tabColor rgb="FF92D050"/>
    <pageSetUpPr fitToPage="1"/>
  </sheetPr>
  <dimension ref="A1:J50"/>
  <sheetViews>
    <sheetView showGridLines="0" zoomScale="80" zoomScaleNormal="80" workbookViewId="0"/>
  </sheetViews>
  <sheetFormatPr defaultColWidth="9.140625" defaultRowHeight="12.75" x14ac:dyDescent="0.2"/>
  <cols>
    <col min="1" max="1" width="2.5703125" style="60" customWidth="1"/>
    <col min="2" max="2" width="33" style="60" customWidth="1"/>
    <col min="3" max="3" width="57.140625" style="60" customWidth="1"/>
    <col min="4" max="7" width="15.7109375" style="60" customWidth="1"/>
    <col min="8" max="9" width="15.7109375" style="253" customWidth="1"/>
    <col min="10" max="10" width="43.42578125" style="60" customWidth="1"/>
    <col min="11" max="11" width="10.28515625" style="60" customWidth="1"/>
    <col min="12" max="16384" width="9.140625" style="60"/>
  </cols>
  <sheetData>
    <row r="1" spans="2:10" x14ac:dyDescent="0.2">
      <c r="J1" s="253"/>
    </row>
    <row r="2" spans="2:10" ht="18" x14ac:dyDescent="0.2">
      <c r="B2" s="12" t="s">
        <v>62</v>
      </c>
      <c r="C2" s="12"/>
      <c r="D2" s="574" t="str">
        <f>СПЛИТ!$B$3</f>
        <v>Версия прайс-листа: 23.09.2013</v>
      </c>
    </row>
    <row r="3" spans="2:10" x14ac:dyDescent="0.2">
      <c r="B3" s="3" t="s">
        <v>198</v>
      </c>
      <c r="C3" s="4"/>
    </row>
    <row r="5" spans="2:10" x14ac:dyDescent="0.2">
      <c r="B5" s="6" t="s">
        <v>303</v>
      </c>
      <c r="C5" s="4"/>
      <c r="D5" s="4"/>
      <c r="E5" s="4"/>
    </row>
    <row r="6" spans="2:10" x14ac:dyDescent="0.2">
      <c r="B6" s="328" t="s">
        <v>89</v>
      </c>
      <c r="C6" s="328" t="s">
        <v>286</v>
      </c>
    </row>
    <row r="7" spans="2:10" x14ac:dyDescent="0.2">
      <c r="B7" s="9" t="s">
        <v>79</v>
      </c>
      <c r="C7" s="285">
        <v>0.8</v>
      </c>
      <c r="D7" s="304"/>
    </row>
    <row r="8" spans="2:10" x14ac:dyDescent="0.2">
      <c r="B8" s="10" t="s">
        <v>80</v>
      </c>
      <c r="C8" s="286">
        <v>0.9</v>
      </c>
      <c r="D8" s="304"/>
    </row>
    <row r="9" spans="2:10" x14ac:dyDescent="0.2">
      <c r="B9" s="10" t="s">
        <v>81</v>
      </c>
      <c r="C9" s="286">
        <v>1</v>
      </c>
      <c r="D9" s="304"/>
    </row>
    <row r="10" spans="2:10" x14ac:dyDescent="0.2">
      <c r="B10" s="10" t="s">
        <v>82</v>
      </c>
      <c r="C10" s="286">
        <v>1</v>
      </c>
      <c r="D10" s="304"/>
    </row>
    <row r="11" spans="2:10" x14ac:dyDescent="0.2">
      <c r="B11" s="10" t="s">
        <v>83</v>
      </c>
      <c r="C11" s="286">
        <v>1</v>
      </c>
      <c r="D11" s="304"/>
    </row>
    <row r="12" spans="2:10" x14ac:dyDescent="0.2">
      <c r="B12" s="10" t="s">
        <v>84</v>
      </c>
      <c r="C12" s="286">
        <v>1</v>
      </c>
      <c r="D12" s="304"/>
    </row>
    <row r="13" spans="2:10" x14ac:dyDescent="0.2">
      <c r="B13" s="10" t="s">
        <v>85</v>
      </c>
      <c r="C13" s="286">
        <v>0.9</v>
      </c>
      <c r="D13" s="304"/>
    </row>
    <row r="14" spans="2:10" x14ac:dyDescent="0.2">
      <c r="B14" s="10" t="s">
        <v>74</v>
      </c>
      <c r="C14" s="286">
        <v>0.9</v>
      </c>
      <c r="D14" s="304"/>
      <c r="E14" s="305"/>
    </row>
    <row r="15" spans="2:10" x14ac:dyDescent="0.2">
      <c r="B15" s="10" t="s">
        <v>75</v>
      </c>
      <c r="C15" s="286">
        <v>1.3</v>
      </c>
      <c r="D15" s="304"/>
      <c r="E15" s="305"/>
    </row>
    <row r="16" spans="2:10" x14ac:dyDescent="0.2">
      <c r="B16" s="10" t="s">
        <v>86</v>
      </c>
      <c r="C16" s="286">
        <v>1.3</v>
      </c>
      <c r="D16" s="304"/>
      <c r="E16" s="305"/>
    </row>
    <row r="17" spans="1:10" x14ac:dyDescent="0.2">
      <c r="B17" s="10" t="s">
        <v>87</v>
      </c>
      <c r="C17" s="286">
        <v>1.3</v>
      </c>
      <c r="D17" s="304"/>
      <c r="E17" s="305"/>
    </row>
    <row r="18" spans="1:10" x14ac:dyDescent="0.2">
      <c r="B18" s="11" t="s">
        <v>88</v>
      </c>
      <c r="C18" s="287">
        <v>1.3</v>
      </c>
      <c r="D18" s="304"/>
    </row>
    <row r="19" spans="1:10" s="304" customFormat="1" x14ac:dyDescent="0.2">
      <c r="B19" s="15"/>
      <c r="C19" s="16"/>
      <c r="H19" s="306"/>
      <c r="I19" s="306"/>
    </row>
    <row r="22" spans="1:10" ht="44.25" customHeight="1" x14ac:dyDescent="0.55000000000000004">
      <c r="A22" s="319"/>
      <c r="B22" s="320" t="s">
        <v>278</v>
      </c>
      <c r="C22" s="320" t="s">
        <v>279</v>
      </c>
      <c r="D22" s="320" t="s">
        <v>275</v>
      </c>
      <c r="E22" s="320" t="s">
        <v>280</v>
      </c>
      <c r="F22" s="321" t="s">
        <v>395</v>
      </c>
      <c r="G22" s="321" t="s">
        <v>111</v>
      </c>
      <c r="H22" s="322" t="s">
        <v>282</v>
      </c>
      <c r="I22" s="322" t="s">
        <v>283</v>
      </c>
      <c r="J22" s="321" t="s">
        <v>285</v>
      </c>
    </row>
    <row r="23" spans="1:10" x14ac:dyDescent="0.2">
      <c r="B23" s="298" t="s">
        <v>113</v>
      </c>
      <c r="C23" s="288" t="s">
        <v>435</v>
      </c>
      <c r="D23" s="290">
        <v>140000</v>
      </c>
      <c r="E23" s="289" t="s">
        <v>96</v>
      </c>
      <c r="F23" s="290">
        <v>500</v>
      </c>
      <c r="G23" s="291">
        <f>D23/F23</f>
        <v>280</v>
      </c>
      <c r="H23" s="296">
        <v>0</v>
      </c>
      <c r="I23" s="296" t="s">
        <v>103</v>
      </c>
      <c r="J23" s="299"/>
    </row>
    <row r="24" spans="1:10" x14ac:dyDescent="0.2">
      <c r="B24" s="298" t="s">
        <v>113</v>
      </c>
      <c r="C24" s="288" t="s">
        <v>388</v>
      </c>
      <c r="D24" s="290">
        <v>175000</v>
      </c>
      <c r="E24" s="289" t="s">
        <v>96</v>
      </c>
      <c r="F24" s="290">
        <v>500</v>
      </c>
      <c r="G24" s="291">
        <f>D24/F24</f>
        <v>350</v>
      </c>
      <c r="H24" s="296">
        <v>0.25</v>
      </c>
      <c r="I24" s="296" t="s">
        <v>103</v>
      </c>
      <c r="J24" s="299"/>
    </row>
    <row r="25" spans="1:10" x14ac:dyDescent="0.2">
      <c r="B25" s="298" t="s">
        <v>113</v>
      </c>
      <c r="C25" s="288" t="s">
        <v>214</v>
      </c>
      <c r="D25" s="290">
        <v>240000</v>
      </c>
      <c r="E25" s="289" t="s">
        <v>96</v>
      </c>
      <c r="F25" s="290">
        <v>1000</v>
      </c>
      <c r="G25" s="291">
        <f>D25/F25</f>
        <v>240</v>
      </c>
      <c r="H25" s="296">
        <v>0</v>
      </c>
      <c r="I25" s="296" t="s">
        <v>103</v>
      </c>
      <c r="J25" s="299"/>
    </row>
    <row r="26" spans="1:10" x14ac:dyDescent="0.2">
      <c r="B26" s="298" t="s">
        <v>113</v>
      </c>
      <c r="C26" s="288" t="s">
        <v>389</v>
      </c>
      <c r="D26" s="290">
        <v>300000</v>
      </c>
      <c r="E26" s="289" t="s">
        <v>96</v>
      </c>
      <c r="F26" s="290">
        <v>1000</v>
      </c>
      <c r="G26" s="291">
        <v>300</v>
      </c>
      <c r="H26" s="296">
        <v>0.25</v>
      </c>
      <c r="I26" s="296" t="s">
        <v>103</v>
      </c>
      <c r="J26" s="299"/>
    </row>
    <row r="27" spans="1:10" x14ac:dyDescent="0.2">
      <c r="B27" s="298" t="s">
        <v>113</v>
      </c>
      <c r="C27" s="288" t="s">
        <v>497</v>
      </c>
      <c r="D27" s="290">
        <v>400000</v>
      </c>
      <c r="E27" s="289" t="s">
        <v>96</v>
      </c>
      <c r="F27" s="290">
        <v>2000</v>
      </c>
      <c r="G27" s="291">
        <v>200</v>
      </c>
      <c r="H27" s="296">
        <v>0</v>
      </c>
      <c r="I27" s="296" t="s">
        <v>103</v>
      </c>
      <c r="J27" s="299" t="s">
        <v>68</v>
      </c>
    </row>
    <row r="28" spans="1:10" x14ac:dyDescent="0.2">
      <c r="B28" s="298" t="s">
        <v>113</v>
      </c>
      <c r="C28" s="288" t="s">
        <v>496</v>
      </c>
      <c r="D28" s="290">
        <v>500000</v>
      </c>
      <c r="E28" s="289" t="s">
        <v>96</v>
      </c>
      <c r="F28" s="290">
        <v>2000</v>
      </c>
      <c r="G28" s="291">
        <v>250</v>
      </c>
      <c r="H28" s="296">
        <v>0.25</v>
      </c>
      <c r="I28" s="296" t="s">
        <v>103</v>
      </c>
      <c r="J28" s="299" t="s">
        <v>68</v>
      </c>
    </row>
    <row r="29" spans="1:10" x14ac:dyDescent="0.2">
      <c r="B29" s="298" t="s">
        <v>243</v>
      </c>
      <c r="C29" s="288" t="s">
        <v>558</v>
      </c>
      <c r="D29" s="290">
        <v>250000</v>
      </c>
      <c r="E29" s="289" t="s">
        <v>102</v>
      </c>
      <c r="F29" s="290">
        <v>5000</v>
      </c>
      <c r="G29" s="291">
        <f>D29/F29</f>
        <v>50</v>
      </c>
      <c r="H29" s="296" t="s">
        <v>103</v>
      </c>
      <c r="I29" s="296" t="s">
        <v>103</v>
      </c>
      <c r="J29" s="299" t="s">
        <v>577</v>
      </c>
    </row>
    <row r="30" spans="1:10" x14ac:dyDescent="0.2">
      <c r="B30" s="298" t="s">
        <v>113</v>
      </c>
      <c r="C30" s="288" t="s">
        <v>30</v>
      </c>
      <c r="D30" s="290">
        <v>2000</v>
      </c>
      <c r="E30" s="289" t="s">
        <v>101</v>
      </c>
      <c r="F30" s="290">
        <v>1</v>
      </c>
      <c r="G30" s="291">
        <f>D30/F30</f>
        <v>2000</v>
      </c>
      <c r="H30" s="296" t="s">
        <v>103</v>
      </c>
      <c r="I30" s="296" t="s">
        <v>136</v>
      </c>
      <c r="J30" s="299"/>
    </row>
    <row r="31" spans="1:10" x14ac:dyDescent="0.2">
      <c r="B31" s="323" t="s">
        <v>288</v>
      </c>
      <c r="C31" s="324"/>
      <c r="D31" s="325"/>
      <c r="E31" s="325"/>
      <c r="F31" s="325"/>
      <c r="G31" s="325"/>
      <c r="H31" s="326"/>
      <c r="I31" s="326"/>
      <c r="J31" s="327"/>
    </row>
    <row r="34" spans="1:4" x14ac:dyDescent="0.2">
      <c r="B34" s="6" t="s">
        <v>302</v>
      </c>
    </row>
    <row r="35" spans="1:4" ht="15" x14ac:dyDescent="0.2">
      <c r="A35" s="307"/>
      <c r="B35" s="913" t="s">
        <v>305</v>
      </c>
      <c r="C35" s="914"/>
      <c r="D35" s="915"/>
    </row>
    <row r="36" spans="1:4" ht="25.5" x14ac:dyDescent="0.2">
      <c r="A36" s="308"/>
      <c r="B36" s="61" t="s">
        <v>514</v>
      </c>
      <c r="C36" s="62">
        <v>0.15</v>
      </c>
      <c r="D36" s="70" t="s">
        <v>178</v>
      </c>
    </row>
    <row r="37" spans="1:4" ht="15" x14ac:dyDescent="0.2">
      <c r="A37" s="307"/>
      <c r="B37" s="913" t="s">
        <v>304</v>
      </c>
      <c r="C37" s="914"/>
      <c r="D37" s="915"/>
    </row>
    <row r="38" spans="1:4" x14ac:dyDescent="0.2">
      <c r="A38" s="308"/>
      <c r="B38" s="77" t="s">
        <v>3</v>
      </c>
      <c r="C38" s="78">
        <v>0.3</v>
      </c>
      <c r="D38" s="79"/>
    </row>
    <row r="39" spans="1:4" ht="58.5" customHeight="1" x14ac:dyDescent="0.2">
      <c r="A39" s="308"/>
      <c r="B39" s="83" t="s">
        <v>562</v>
      </c>
      <c r="C39" s="84">
        <v>0.5</v>
      </c>
      <c r="D39" s="86"/>
    </row>
    <row r="40" spans="1:4" ht="15" x14ac:dyDescent="0.2">
      <c r="A40" s="307"/>
      <c r="B40" s="913" t="s">
        <v>301</v>
      </c>
      <c r="C40" s="914"/>
      <c r="D40" s="915"/>
    </row>
    <row r="41" spans="1:4" x14ac:dyDescent="0.2">
      <c r="B41" s="80" t="s">
        <v>138</v>
      </c>
      <c r="C41" s="81">
        <v>0</v>
      </c>
      <c r="D41" s="82"/>
    </row>
    <row r="42" spans="1:4" x14ac:dyDescent="0.2">
      <c r="B42" s="83" t="s">
        <v>8</v>
      </c>
      <c r="C42" s="84">
        <v>0</v>
      </c>
      <c r="D42" s="86"/>
    </row>
    <row r="43" spans="1:4" ht="15" x14ac:dyDescent="0.2">
      <c r="A43" s="307"/>
      <c r="B43" s="913" t="s">
        <v>300</v>
      </c>
      <c r="C43" s="914"/>
      <c r="D43" s="915"/>
    </row>
    <row r="44" spans="1:4" x14ac:dyDescent="0.2">
      <c r="A44" s="308"/>
      <c r="B44" s="77" t="s">
        <v>140</v>
      </c>
      <c r="C44" s="78" t="s">
        <v>51</v>
      </c>
      <c r="D44" s="79"/>
    </row>
    <row r="45" spans="1:4" x14ac:dyDescent="0.2">
      <c r="A45" s="308"/>
      <c r="B45" s="80" t="s">
        <v>42</v>
      </c>
      <c r="C45" s="81">
        <v>0</v>
      </c>
      <c r="D45" s="82"/>
    </row>
    <row r="46" spans="1:4" x14ac:dyDescent="0.2">
      <c r="B46" s="80" t="s">
        <v>35</v>
      </c>
      <c r="C46" s="81">
        <v>0</v>
      </c>
      <c r="D46" s="82"/>
    </row>
    <row r="47" spans="1:4" x14ac:dyDescent="0.2">
      <c r="B47" s="80" t="s">
        <v>38</v>
      </c>
      <c r="C47" s="81" t="s">
        <v>51</v>
      </c>
      <c r="D47" s="91"/>
    </row>
    <row r="48" spans="1:4" x14ac:dyDescent="0.2">
      <c r="B48" s="80" t="s">
        <v>143</v>
      </c>
      <c r="C48" s="81">
        <v>0</v>
      </c>
      <c r="D48" s="82"/>
    </row>
    <row r="49" spans="2:4" x14ac:dyDescent="0.2">
      <c r="B49" s="83" t="s">
        <v>141</v>
      </c>
      <c r="C49" s="84">
        <v>0.5</v>
      </c>
      <c r="D49" s="86"/>
    </row>
    <row r="50" spans="2:4" x14ac:dyDescent="0.2">
      <c r="B50" s="948" t="s">
        <v>561</v>
      </c>
      <c r="C50" s="949"/>
      <c r="D50" s="950"/>
    </row>
  </sheetData>
  <sheetProtection password="CF18" sheet="1" objects="1"/>
  <mergeCells count="5">
    <mergeCell ref="B40:D40"/>
    <mergeCell ref="B43:D43"/>
    <mergeCell ref="B35:D35"/>
    <mergeCell ref="B37:D37"/>
    <mergeCell ref="B50:D50"/>
  </mergeCells>
  <phoneticPr fontId="2" type="noConversion"/>
  <conditionalFormatting sqref="B23:J30">
    <cfRule type="expression" dxfId="36" priority="1" stopIfTrue="1">
      <formula>AND(COLUMN()=COLUMN($B23),$B23=OFFSET($B23,-1,0))</formula>
    </cfRule>
    <cfRule type="expression" dxfId="35" priority="2" stopIfTrue="1">
      <formula>$B23&lt;&gt;OFFSET($B23,-1,0)</formula>
    </cfRule>
  </conditionalFormatting>
  <dataValidations count="1">
    <dataValidation type="list" allowBlank="1" showInputMessage="1" showErrorMessage="1" sqref="E23:E30">
      <formula1>typeIndexSm</formula1>
    </dataValidation>
  </dataValidations>
  <hyperlinks>
    <hyperlink ref="D2" location="'Медиа-Заявка'!R157C3" tooltip="Вернуться на медиа-заявку" display="'Медиа-Заявка'!R157C3"/>
  </hyperlinks>
  <pageMargins left="0.75" right="0.75" top="1" bottom="1" header="0.5" footer="0.5"/>
  <pageSetup paperSize="9" scale="54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28">
    <tabColor theme="9" tint="-0.249977111117893"/>
    <outlinePr summaryBelow="0" summaryRight="0"/>
    <pageSetUpPr fitToPage="1"/>
  </sheetPr>
  <dimension ref="A1:CL359"/>
  <sheetViews>
    <sheetView showGridLines="0" zoomScale="80" zoomScaleNormal="80" zoomScaleSheetLayoutView="50" workbookViewId="0">
      <pane xSplit="3" ySplit="10" topLeftCell="D11" activePane="bottomRight" state="frozen"/>
      <selection pane="topRight" activeCell="D1" sqref="D1"/>
      <selection pane="bottomLeft" activeCell="A11" sqref="A11"/>
      <selection pane="bottomRight"/>
    </sheetView>
  </sheetViews>
  <sheetFormatPr defaultRowHeight="11.25" outlineLevelRow="1" outlineLevelCol="1" x14ac:dyDescent="0.2"/>
  <cols>
    <col min="1" max="1" width="2.85546875" style="352" customWidth="1"/>
    <col min="2" max="2" width="71.7109375" style="352" customWidth="1"/>
    <col min="3" max="3" width="6.7109375" style="465" customWidth="1"/>
    <col min="4" max="6" width="11.42578125" style="353" customWidth="1"/>
    <col min="7" max="10" width="13.5703125" style="352" customWidth="1"/>
    <col min="11" max="12" width="8.7109375" style="352" customWidth="1"/>
    <col min="13" max="22" width="8.7109375" style="354" customWidth="1"/>
    <col min="23" max="24" width="13.5703125" style="352" customWidth="1"/>
    <col min="25" max="25" width="11.5703125" style="352" customWidth="1"/>
    <col min="26" max="26" width="11.5703125" style="461" customWidth="1" collapsed="1"/>
    <col min="27" max="28" width="8.7109375" style="355" hidden="1" customWidth="1" outlineLevel="1"/>
    <col min="29" max="38" width="8.7109375" style="356" hidden="1" customWidth="1" outlineLevel="1"/>
    <col min="39" max="39" width="32.7109375" style="357" customWidth="1"/>
    <col min="40" max="40" width="12.7109375" style="1" hidden="1" customWidth="1"/>
    <col min="41" max="41" width="15.28515625" style="1" hidden="1" customWidth="1"/>
    <col min="42" max="42" width="11.7109375" style="1" hidden="1" customWidth="1"/>
    <col min="43" max="44" width="6.140625" style="29" hidden="1" customWidth="1"/>
    <col min="45" max="46" width="6.140625" style="32" hidden="1" customWidth="1"/>
    <col min="47" max="49" width="12.5703125" style="178" hidden="1" customWidth="1"/>
    <col min="50" max="51" width="12.5703125" style="19" hidden="1" customWidth="1"/>
    <col min="52" max="54" width="10.7109375" style="19" hidden="1" customWidth="1"/>
    <col min="55" max="55" width="14.42578125" style="36" hidden="1" customWidth="1"/>
    <col min="56" max="56" width="5.140625" style="32" hidden="1" customWidth="1"/>
    <col min="57" max="57" width="11.42578125" style="58" hidden="1" customWidth="1"/>
    <col min="58" max="61" width="13.7109375" style="19" hidden="1" customWidth="1"/>
    <col min="62" max="62" width="10" style="32" hidden="1" customWidth="1"/>
    <col min="63" max="63" width="10.28515625" style="18" hidden="1" customWidth="1"/>
    <col min="64" max="74" width="9.140625" style="18" hidden="1" customWidth="1"/>
    <col min="75" max="75" width="9.140625" style="19" hidden="1" customWidth="1"/>
    <col min="76" max="76" width="9.140625" style="71" hidden="1" customWidth="1"/>
    <col min="77" max="77" width="10.28515625" style="267" hidden="1" customWidth="1"/>
    <col min="78" max="88" width="9.140625" style="267" hidden="1" customWidth="1"/>
    <col min="89" max="89" width="10.28515625" style="255" hidden="1" customWidth="1"/>
    <col min="90" max="90" width="4.140625" style="18" hidden="1" customWidth="1"/>
    <col min="91" max="16384" width="9.140625" style="1"/>
  </cols>
  <sheetData>
    <row r="1" spans="1:90" x14ac:dyDescent="0.2">
      <c r="Z1" s="891" t="s">
        <v>343</v>
      </c>
    </row>
    <row r="2" spans="1:90" s="2" customFormat="1" ht="30" x14ac:dyDescent="0.2">
      <c r="A2" s="578"/>
      <c r="B2" s="577" t="s">
        <v>615</v>
      </c>
      <c r="C2" s="466"/>
      <c r="D2" s="358"/>
      <c r="E2" s="358"/>
      <c r="F2" s="358"/>
      <c r="G2" s="358"/>
      <c r="H2" s="358"/>
      <c r="I2" s="358"/>
      <c r="J2" s="358"/>
      <c r="K2"/>
      <c r="L2"/>
      <c r="M2"/>
      <c r="N2"/>
      <c r="O2"/>
      <c r="P2"/>
      <c r="Q2"/>
      <c r="R2"/>
      <c r="S2"/>
      <c r="T2"/>
      <c r="U2"/>
      <c r="V2"/>
      <c r="W2"/>
      <c r="X2" s="358"/>
      <c r="Y2" s="358"/>
      <c r="Z2" s="892"/>
      <c r="AA2" s="359"/>
      <c r="AB2" s="359"/>
      <c r="AC2" s="359"/>
      <c r="AD2" s="359"/>
      <c r="AE2" s="359"/>
      <c r="AF2" s="359"/>
      <c r="AG2" s="359"/>
      <c r="AH2" s="359"/>
      <c r="AI2" s="359"/>
      <c r="AJ2" s="359"/>
      <c r="AK2" s="359"/>
      <c r="AL2" s="359"/>
      <c r="AM2" s="358"/>
      <c r="AN2" s="60"/>
      <c r="AO2" s="60"/>
      <c r="AP2" s="60"/>
      <c r="AQ2" s="60"/>
      <c r="AR2" s="60"/>
      <c r="AS2" s="60"/>
      <c r="AT2" s="60"/>
      <c r="AU2" s="60"/>
      <c r="AV2" s="60"/>
      <c r="AW2" s="60"/>
      <c r="AX2" s="349"/>
      <c r="AY2" s="349"/>
      <c r="AZ2" s="60"/>
      <c r="BA2" s="60"/>
      <c r="BB2" s="60"/>
      <c r="BC2" s="60"/>
      <c r="BD2" s="252"/>
      <c r="BE2" s="60"/>
      <c r="BF2" s="60"/>
      <c r="BG2" s="60"/>
      <c r="BH2" s="60"/>
      <c r="BI2" s="60"/>
      <c r="BJ2" s="252"/>
      <c r="BK2" s="60"/>
      <c r="BL2" s="60"/>
      <c r="BM2" s="60"/>
      <c r="BN2" s="60"/>
      <c r="BO2" s="60"/>
      <c r="BP2" s="60"/>
      <c r="BQ2" s="60"/>
      <c r="BR2" s="60"/>
      <c r="BS2" s="60"/>
      <c r="BT2" s="60"/>
      <c r="BU2" s="60"/>
      <c r="BV2" s="60"/>
      <c r="BW2" s="60"/>
      <c r="BX2" s="60"/>
      <c r="BY2" s="256"/>
      <c r="BZ2" s="256"/>
      <c r="CA2" s="256"/>
      <c r="CB2" s="256"/>
      <c r="CC2" s="256"/>
      <c r="CD2" s="256"/>
      <c r="CE2" s="256"/>
      <c r="CF2" s="256"/>
      <c r="CG2" s="256"/>
      <c r="CH2" s="256"/>
      <c r="CI2" s="256"/>
      <c r="CJ2" s="256"/>
      <c r="CK2" s="253"/>
      <c r="CL2" s="60"/>
    </row>
    <row r="3" spans="1:90" s="2" customFormat="1" ht="20.25" x14ac:dyDescent="0.2">
      <c r="A3" s="360"/>
      <c r="B3" s="898" t="s">
        <v>344</v>
      </c>
      <c r="C3" s="898"/>
      <c r="D3" s="358"/>
      <c r="E3" s="883" t="s">
        <v>331</v>
      </c>
      <c r="F3" s="884"/>
      <c r="G3" s="885"/>
      <c r="H3" s="361" t="s">
        <v>315</v>
      </c>
      <c r="I3" s="361" t="s">
        <v>316</v>
      </c>
      <c r="J3" s="358"/>
      <c r="K3"/>
      <c r="L3"/>
      <c r="M3"/>
      <c r="N3"/>
      <c r="O3"/>
      <c r="P3"/>
      <c r="Q3"/>
      <c r="R3"/>
      <c r="S3"/>
      <c r="T3"/>
      <c r="U3"/>
      <c r="V3"/>
      <c r="W3"/>
      <c r="X3" s="358"/>
      <c r="Y3" s="358"/>
      <c r="Z3" s="892"/>
      <c r="AA3" s="355"/>
      <c r="AB3" s="355"/>
      <c r="AC3" s="356"/>
      <c r="AD3" s="356"/>
      <c r="AE3" s="356"/>
      <c r="AF3" s="356"/>
      <c r="AG3" s="356"/>
      <c r="AH3" s="356"/>
      <c r="AI3" s="356"/>
      <c r="AJ3" s="356"/>
      <c r="AK3" s="356"/>
      <c r="AL3" s="356"/>
      <c r="AM3" s="358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349"/>
      <c r="AY3" s="349"/>
      <c r="AZ3" s="60"/>
      <c r="BA3" s="60"/>
      <c r="BB3" s="60"/>
      <c r="BC3" s="60"/>
      <c r="BD3" s="252"/>
      <c r="BE3" s="60"/>
      <c r="BF3" s="60"/>
      <c r="BG3" s="60"/>
      <c r="BH3" s="60"/>
      <c r="BI3" s="60"/>
      <c r="BJ3" s="252"/>
      <c r="BK3" s="60"/>
      <c r="BL3" s="60"/>
      <c r="BM3" s="60"/>
      <c r="BN3" s="60"/>
      <c r="BO3" s="60"/>
      <c r="BP3" s="60"/>
      <c r="BQ3" s="60"/>
      <c r="BR3" s="60"/>
      <c r="BS3" s="60"/>
      <c r="BT3" s="60"/>
      <c r="BU3" s="60"/>
      <c r="BV3" s="60"/>
      <c r="BW3" s="60"/>
      <c r="BX3" s="60"/>
      <c r="BY3" s="256"/>
      <c r="BZ3" s="256"/>
      <c r="CA3" s="256"/>
      <c r="CB3" s="256"/>
      <c r="CC3" s="256"/>
      <c r="CD3" s="256"/>
      <c r="CE3" s="256"/>
      <c r="CF3" s="256"/>
      <c r="CG3" s="256"/>
      <c r="CH3" s="256"/>
      <c r="CI3" s="256"/>
      <c r="CJ3" s="256"/>
      <c r="CK3" s="253"/>
      <c r="CL3" s="60"/>
    </row>
    <row r="4" spans="1:90" ht="20.25" x14ac:dyDescent="0.2">
      <c r="A4" s="360"/>
      <c r="B4" s="899" t="str">
        <f>splitAgency</f>
        <v>&lt; Название РА &gt;</v>
      </c>
      <c r="C4" s="899"/>
      <c r="D4" s="358"/>
      <c r="E4" s="362"/>
      <c r="F4" s="363"/>
      <c r="G4" s="364" t="s">
        <v>153</v>
      </c>
      <c r="H4" s="894">
        <f>discSplit</f>
        <v>0</v>
      </c>
      <c r="I4" s="895"/>
      <c r="J4" s="358"/>
      <c r="K4"/>
      <c r="L4"/>
      <c r="M4"/>
      <c r="N4"/>
      <c r="O4"/>
      <c r="P4"/>
      <c r="Q4"/>
      <c r="R4"/>
      <c r="S4"/>
      <c r="T4"/>
      <c r="U4"/>
      <c r="V4"/>
      <c r="W4"/>
      <c r="X4" s="358"/>
      <c r="Y4" s="358"/>
      <c r="Z4" s="893"/>
      <c r="AA4" s="359"/>
      <c r="AB4" s="359"/>
      <c r="AC4" s="359"/>
      <c r="AD4" s="359"/>
      <c r="AE4" s="359"/>
      <c r="AF4" s="359"/>
      <c r="AG4" s="359"/>
      <c r="AH4" s="359"/>
      <c r="AI4" s="359"/>
      <c r="AJ4" s="359"/>
      <c r="AK4" s="359"/>
      <c r="AL4" s="359"/>
      <c r="AM4" s="358"/>
      <c r="AN4" s="60"/>
      <c r="AO4" s="60"/>
      <c r="AP4" s="60"/>
      <c r="AQ4" s="60"/>
      <c r="AR4" s="60"/>
      <c r="AS4" s="60"/>
      <c r="AT4" s="60"/>
      <c r="AU4" s="60"/>
      <c r="AV4" s="60"/>
      <c r="AW4" s="60"/>
      <c r="AX4" s="349"/>
      <c r="AY4" s="349"/>
      <c r="AZ4" s="60"/>
      <c r="BA4" s="60"/>
      <c r="BB4" s="60"/>
      <c r="BC4" s="60"/>
      <c r="BD4" s="252"/>
      <c r="BE4" s="60"/>
      <c r="BF4" s="60"/>
      <c r="BG4" s="60"/>
      <c r="BH4" s="60"/>
      <c r="BI4" s="60"/>
      <c r="BJ4" s="252"/>
      <c r="BK4" s="60"/>
      <c r="BL4" s="60"/>
      <c r="BM4" s="60"/>
      <c r="BN4" s="60"/>
      <c r="BO4" s="60"/>
      <c r="BP4" s="60"/>
      <c r="BQ4" s="60"/>
      <c r="BR4" s="60"/>
      <c r="BS4" s="60"/>
      <c r="BT4" s="60"/>
      <c r="BU4" s="60"/>
      <c r="BV4" s="60"/>
      <c r="BW4" s="60"/>
      <c r="BX4" s="60"/>
      <c r="BY4" s="256"/>
      <c r="BZ4" s="256"/>
      <c r="CA4" s="256"/>
      <c r="CB4" s="256"/>
      <c r="CC4" s="256"/>
      <c r="CD4" s="256"/>
      <c r="CE4" s="256"/>
      <c r="CF4" s="256"/>
      <c r="CG4" s="256"/>
      <c r="CH4" s="256"/>
      <c r="CI4" s="256"/>
      <c r="CJ4" s="256"/>
      <c r="CK4" s="253"/>
      <c r="CL4" s="60"/>
    </row>
    <row r="5" spans="1:90" ht="20.25" x14ac:dyDescent="0.2">
      <c r="A5" s="360"/>
      <c r="B5" s="900" t="str">
        <f>splitClient</f>
        <v>&lt; Название рекламодателя&gt;</v>
      </c>
      <c r="C5" s="900"/>
      <c r="D5" s="358"/>
      <c r="E5" s="365"/>
      <c r="F5" s="366"/>
      <c r="G5" s="367" t="s">
        <v>106</v>
      </c>
      <c r="H5" s="896">
        <f>discAgency</f>
        <v>0</v>
      </c>
      <c r="I5" s="897"/>
      <c r="J5" s="358"/>
      <c r="L5" s="633" t="s">
        <v>511</v>
      </c>
      <c r="W5" s="358"/>
      <c r="X5" s="358"/>
      <c r="Y5" s="358"/>
      <c r="Z5" s="368"/>
      <c r="AM5" s="358"/>
      <c r="AN5" s="60"/>
      <c r="AO5" s="60"/>
      <c r="AP5" s="60"/>
      <c r="AQ5" s="60"/>
      <c r="AR5" s="60"/>
      <c r="AS5" s="60"/>
      <c r="AT5" s="60"/>
      <c r="AU5" s="60"/>
      <c r="AV5" s="60"/>
      <c r="AW5" s="60"/>
      <c r="AX5" s="349"/>
      <c r="AY5" s="349"/>
      <c r="AZ5" s="60"/>
      <c r="BA5" s="60"/>
      <c r="BB5" s="60"/>
      <c r="BC5" s="60"/>
      <c r="BD5" s="252"/>
      <c r="BE5" s="60"/>
      <c r="BF5" s="60"/>
      <c r="BG5" s="60"/>
      <c r="BH5" s="60"/>
      <c r="BI5" s="60"/>
      <c r="BJ5" s="252"/>
      <c r="BK5" s="60"/>
      <c r="BL5" s="60"/>
      <c r="BM5" s="60"/>
      <c r="BN5" s="60"/>
      <c r="BO5" s="60"/>
      <c r="BP5" s="60"/>
      <c r="BQ5" s="60"/>
      <c r="BR5" s="60"/>
      <c r="BS5" s="60"/>
      <c r="BT5" s="60"/>
      <c r="BU5" s="60"/>
      <c r="BV5" s="60"/>
      <c r="BW5" s="60"/>
      <c r="BX5" s="60"/>
      <c r="BY5" s="256"/>
      <c r="BZ5" s="256"/>
      <c r="CA5" s="256"/>
      <c r="CB5" s="256"/>
      <c r="CC5" s="256"/>
      <c r="CD5" s="256"/>
      <c r="CE5" s="256"/>
      <c r="CF5" s="256"/>
      <c r="CG5" s="256"/>
      <c r="CH5" s="256"/>
      <c r="CI5" s="256"/>
      <c r="CJ5" s="256"/>
      <c r="CK5" s="253"/>
      <c r="CL5" s="60"/>
    </row>
    <row r="6" spans="1:90" ht="20.25" x14ac:dyDescent="0.2">
      <c r="A6" s="360"/>
      <c r="B6" s="900" t="str">
        <f>splitBrendName</f>
        <v>&lt; Название бренда &gt;</v>
      </c>
      <c r="C6" s="900"/>
      <c r="D6" s="358"/>
      <c r="E6" s="365"/>
      <c r="F6" s="366"/>
      <c r="G6" s="367" t="s">
        <v>154</v>
      </c>
      <c r="H6" s="369">
        <f>discReachX</f>
        <v>0</v>
      </c>
      <c r="I6" s="369">
        <f>discReachZ</f>
        <v>0</v>
      </c>
      <c r="J6" s="370" t="str">
        <f>IF(fixReachZ,"Применяется скидка за годовое планирование.","")</f>
        <v/>
      </c>
      <c r="W6" s="358"/>
      <c r="X6" s="358"/>
      <c r="Y6" s="358"/>
      <c r="Z6" s="368"/>
      <c r="AM6" s="358"/>
      <c r="AN6" s="60"/>
      <c r="AO6" s="60"/>
      <c r="AP6" s="60"/>
      <c r="AQ6" s="60"/>
      <c r="AR6" s="60"/>
      <c r="AS6" s="60"/>
      <c r="AT6" s="60"/>
      <c r="AU6" s="60"/>
      <c r="AV6" s="60"/>
      <c r="AW6" s="60"/>
      <c r="AX6" s="349"/>
      <c r="AY6" s="349"/>
      <c r="AZ6" s="60"/>
      <c r="BA6" s="60"/>
      <c r="BB6" s="60"/>
      <c r="BC6" s="60"/>
      <c r="BD6" s="252"/>
      <c r="BE6" s="60"/>
      <c r="BF6" s="60"/>
      <c r="BG6" s="60"/>
      <c r="BH6" s="60"/>
      <c r="BI6" s="60"/>
      <c r="BJ6" s="252"/>
      <c r="BK6" s="60"/>
      <c r="BL6" s="60"/>
      <c r="BM6" s="60"/>
      <c r="BN6" s="60"/>
      <c r="BO6" s="60"/>
      <c r="BP6" s="60"/>
      <c r="BQ6" s="60"/>
      <c r="BR6" s="60"/>
      <c r="BS6" s="60"/>
      <c r="BT6" s="60"/>
      <c r="BU6" s="60"/>
      <c r="BV6" s="60"/>
      <c r="BW6" s="60"/>
      <c r="BX6" s="60"/>
      <c r="BY6" s="256"/>
      <c r="BZ6" s="256"/>
      <c r="CA6" s="256"/>
      <c r="CB6" s="256"/>
      <c r="CC6" s="256"/>
      <c r="CD6" s="256"/>
      <c r="CE6" s="256"/>
      <c r="CF6" s="256"/>
      <c r="CG6" s="256"/>
      <c r="CH6" s="256"/>
      <c r="CI6" s="256"/>
      <c r="CJ6" s="256"/>
      <c r="CK6" s="253"/>
      <c r="CL6" s="60"/>
    </row>
    <row r="7" spans="1:90" ht="20.25" x14ac:dyDescent="0.2">
      <c r="A7" s="360"/>
      <c r="B7" s="901" t="str">
        <f>CONCATENATE(IF(splitRkName&lt;&gt;"",splitRkName,"")," (",INDEX(months,monthStart)," - ",INDEX(months,monthFinish),")")</f>
        <v>&lt; Название РК &gt; (Январь - Декабрь)</v>
      </c>
      <c r="C7" s="901"/>
      <c r="D7" s="358"/>
      <c r="E7" s="371"/>
      <c r="F7" s="372"/>
      <c r="G7" s="373" t="s">
        <v>256</v>
      </c>
      <c r="H7" s="632">
        <f ca="1">'##'!$J$51</f>
        <v>0</v>
      </c>
      <c r="I7" s="632">
        <f ca="1">'##'!$K$51</f>
        <v>0</v>
      </c>
      <c r="J7" s="370" t="str">
        <f>IF(fixDiscZ,"Взята max скидка из двух: Сплит или Медиа-заявка.","")</f>
        <v/>
      </c>
      <c r="W7" s="358"/>
      <c r="X7" s="358"/>
      <c r="Y7" s="358"/>
      <c r="Z7" s="368"/>
      <c r="AM7" s="358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349"/>
      <c r="AY7" s="349"/>
      <c r="AZ7" s="60"/>
      <c r="BA7" s="60"/>
      <c r="BB7" s="60"/>
      <c r="BC7" s="60"/>
      <c r="BD7" s="252"/>
      <c r="BE7" s="60"/>
      <c r="BF7" s="60"/>
      <c r="BG7" s="60"/>
      <c r="BH7" s="60"/>
      <c r="BI7" s="60"/>
      <c r="BJ7" s="252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  <c r="BX7" s="60"/>
      <c r="BY7" s="256"/>
      <c r="BZ7" s="256"/>
      <c r="CA7" s="256"/>
      <c r="CB7" s="256"/>
      <c r="CC7" s="256"/>
      <c r="CD7" s="256"/>
      <c r="CE7" s="256"/>
      <c r="CF7" s="256"/>
      <c r="CG7" s="256"/>
      <c r="CH7" s="256"/>
      <c r="CI7" s="256"/>
      <c r="CJ7" s="256"/>
      <c r="CK7" s="253"/>
      <c r="CL7" s="60"/>
    </row>
    <row r="8" spans="1:90" ht="20.25" x14ac:dyDescent="0.2">
      <c r="A8" s="360"/>
      <c r="B8" s="374"/>
      <c r="C8" s="467"/>
      <c r="D8" s="358"/>
      <c r="E8" s="365"/>
      <c r="F8" s="366"/>
      <c r="G8" s="375" t="s">
        <v>152</v>
      </c>
      <c r="H8" s="369">
        <f>extraDelayX</f>
        <v>0</v>
      </c>
      <c r="I8" s="369">
        <f>extraDelayZ</f>
        <v>0</v>
      </c>
      <c r="J8" s="370" t="str">
        <f>IF(fixDelayZ,"Применяется наценка за отсрочку платежа.","")</f>
        <v/>
      </c>
      <c r="K8" s="358"/>
      <c r="L8" s="358"/>
      <c r="M8" s="358"/>
      <c r="N8" s="358"/>
      <c r="O8" s="358"/>
      <c r="P8" s="358"/>
      <c r="Q8" s="358"/>
      <c r="R8" s="358"/>
      <c r="S8" s="358"/>
      <c r="T8" s="358"/>
      <c r="U8" s="358"/>
      <c r="V8" s="358"/>
      <c r="W8" s="358"/>
      <c r="X8" s="358"/>
      <c r="Y8" s="358"/>
      <c r="Z8" s="368"/>
      <c r="AA8" s="359"/>
      <c r="AB8" s="359"/>
      <c r="AC8" s="359"/>
      <c r="AD8" s="359"/>
      <c r="AE8" s="359"/>
      <c r="AF8" s="359"/>
      <c r="AG8" s="359"/>
      <c r="AH8" s="359"/>
      <c r="AI8" s="359"/>
      <c r="AJ8" s="359"/>
      <c r="AK8" s="359"/>
      <c r="AL8" s="359"/>
      <c r="AM8" s="358"/>
      <c r="AN8" s="60"/>
      <c r="AO8" s="60"/>
      <c r="AP8" s="60"/>
      <c r="AQ8" s="60"/>
      <c r="AR8" s="60"/>
      <c r="AS8" s="60"/>
      <c r="AT8" s="60"/>
      <c r="AU8" s="60"/>
      <c r="AV8" s="60"/>
      <c r="AW8" s="60"/>
      <c r="AX8" s="349"/>
      <c r="AY8" s="349"/>
      <c r="AZ8" s="60"/>
      <c r="BA8" s="60"/>
      <c r="BB8" s="60"/>
      <c r="BC8" s="60"/>
      <c r="BD8" s="252"/>
      <c r="BE8" s="60"/>
      <c r="BF8" s="60"/>
      <c r="BG8" s="60"/>
      <c r="BH8" s="60"/>
      <c r="BI8" s="60"/>
      <c r="BJ8" s="252"/>
      <c r="BK8" s="60"/>
      <c r="BL8" s="60"/>
      <c r="BM8" s="60"/>
      <c r="BN8" s="60"/>
      <c r="BO8" s="60"/>
      <c r="BP8" s="60"/>
      <c r="BQ8" s="60"/>
      <c r="BR8" s="60"/>
      <c r="BS8" s="60"/>
      <c r="BT8" s="60"/>
      <c r="BU8" s="60"/>
      <c r="BV8" s="60"/>
      <c r="BW8" s="60"/>
      <c r="BX8" s="60"/>
      <c r="BY8" s="256"/>
      <c r="BZ8" s="256"/>
      <c r="CA8" s="256"/>
      <c r="CB8" s="256"/>
      <c r="CC8" s="256"/>
      <c r="CD8" s="256"/>
      <c r="CE8" s="256"/>
      <c r="CF8" s="256"/>
      <c r="CG8" s="256"/>
      <c r="CH8" s="256"/>
      <c r="CI8" s="256"/>
      <c r="CJ8" s="256"/>
      <c r="CK8" s="253"/>
      <c r="CL8" s="60"/>
    </row>
    <row r="9" spans="1:90" s="2" customFormat="1" ht="18" customHeight="1" x14ac:dyDescent="0.2">
      <c r="A9" s="376"/>
      <c r="B9" s="358"/>
      <c r="C9" s="468"/>
      <c r="D9" s="358"/>
      <c r="E9" s="358"/>
      <c r="F9" s="358"/>
      <c r="G9" s="358"/>
      <c r="H9" s="358"/>
      <c r="I9" s="358"/>
      <c r="J9" s="358"/>
      <c r="K9" s="886" t="s">
        <v>320</v>
      </c>
      <c r="L9" s="887"/>
      <c r="M9" s="887"/>
      <c r="N9" s="887"/>
      <c r="O9" s="887"/>
      <c r="P9" s="887"/>
      <c r="Q9" s="887"/>
      <c r="R9" s="887"/>
      <c r="S9" s="887"/>
      <c r="T9" s="887"/>
      <c r="U9" s="887"/>
      <c r="V9" s="888"/>
      <c r="W9" s="358"/>
      <c r="X9" s="358"/>
      <c r="Y9" s="358"/>
      <c r="Z9" s="377"/>
      <c r="AA9" s="889" t="s">
        <v>321</v>
      </c>
      <c r="AB9" s="889"/>
      <c r="AC9" s="889"/>
      <c r="AD9" s="889"/>
      <c r="AE9" s="889"/>
      <c r="AF9" s="889"/>
      <c r="AG9" s="889"/>
      <c r="AH9" s="889"/>
      <c r="AI9" s="889"/>
      <c r="AJ9" s="889"/>
      <c r="AK9" s="889"/>
      <c r="AL9" s="890"/>
      <c r="AM9" s="378" t="str">
        <f>currentVersion</f>
        <v>Версия прайс-листа: 23.09.2013</v>
      </c>
      <c r="AN9" s="60"/>
      <c r="AP9" s="60"/>
      <c r="AQ9" s="29"/>
      <c r="AR9" s="29"/>
      <c r="AS9" s="32"/>
      <c r="AT9" s="32"/>
      <c r="AU9" s="178"/>
      <c r="AV9" s="178"/>
      <c r="AW9" s="178"/>
      <c r="AX9" s="19"/>
      <c r="AY9" s="19"/>
      <c r="AZ9" s="19"/>
      <c r="BA9" s="19"/>
      <c r="BB9" s="19"/>
      <c r="BC9" s="36"/>
      <c r="BD9" s="32"/>
      <c r="BE9" s="58"/>
      <c r="BF9" s="19"/>
      <c r="BG9" s="19"/>
      <c r="BH9" s="19"/>
      <c r="BI9" s="19"/>
      <c r="BJ9" s="32"/>
      <c r="BK9" s="54">
        <v>1</v>
      </c>
      <c r="BL9" s="55">
        <v>2</v>
      </c>
      <c r="BM9" s="55">
        <v>3</v>
      </c>
      <c r="BN9" s="55">
        <v>4</v>
      </c>
      <c r="BO9" s="55">
        <v>5</v>
      </c>
      <c r="BP9" s="55">
        <v>6</v>
      </c>
      <c r="BQ9" s="55">
        <v>7</v>
      </c>
      <c r="BR9" s="55">
        <v>8</v>
      </c>
      <c r="BS9" s="55">
        <v>9</v>
      </c>
      <c r="BT9" s="55">
        <v>10</v>
      </c>
      <c r="BU9" s="55">
        <v>11</v>
      </c>
      <c r="BV9" s="56">
        <v>12</v>
      </c>
      <c r="BW9" s="19"/>
      <c r="BX9" s="71"/>
      <c r="BY9" s="181"/>
      <c r="BZ9" s="181"/>
      <c r="CA9" s="181"/>
      <c r="CB9" s="181"/>
      <c r="CC9" s="181"/>
      <c r="CD9" s="181"/>
      <c r="CE9" s="181"/>
      <c r="CF9" s="181"/>
      <c r="CG9" s="181"/>
      <c r="CH9" s="181"/>
      <c r="CI9" s="181"/>
      <c r="CJ9" s="181"/>
      <c r="CK9" s="255"/>
      <c r="CL9" s="18"/>
    </row>
    <row r="10" spans="1:90" ht="44.25" x14ac:dyDescent="0.2">
      <c r="A10" s="379"/>
      <c r="B10" s="474" t="s">
        <v>277</v>
      </c>
      <c r="C10" s="473" t="s">
        <v>364</v>
      </c>
      <c r="D10" s="380" t="s">
        <v>107</v>
      </c>
      <c r="E10" s="380" t="s">
        <v>345</v>
      </c>
      <c r="F10" s="380" t="s">
        <v>341</v>
      </c>
      <c r="G10" s="381" t="s">
        <v>292</v>
      </c>
      <c r="H10" s="381" t="s">
        <v>338</v>
      </c>
      <c r="I10" s="381" t="s">
        <v>293</v>
      </c>
      <c r="J10" s="382" t="s">
        <v>339</v>
      </c>
      <c r="K10" s="383" t="s">
        <v>79</v>
      </c>
      <c r="L10" s="384" t="s">
        <v>80</v>
      </c>
      <c r="M10" s="384" t="s">
        <v>81</v>
      </c>
      <c r="N10" s="384" t="s">
        <v>82</v>
      </c>
      <c r="O10" s="384" t="s">
        <v>83</v>
      </c>
      <c r="P10" s="384" t="s">
        <v>84</v>
      </c>
      <c r="Q10" s="384" t="s">
        <v>85</v>
      </c>
      <c r="R10" s="384" t="s">
        <v>74</v>
      </c>
      <c r="S10" s="384" t="s">
        <v>75</v>
      </c>
      <c r="T10" s="384" t="s">
        <v>86</v>
      </c>
      <c r="U10" s="384" t="s">
        <v>87</v>
      </c>
      <c r="V10" s="385" t="s">
        <v>88</v>
      </c>
      <c r="W10" s="386" t="s">
        <v>295</v>
      </c>
      <c r="X10" s="386" t="s">
        <v>361</v>
      </c>
      <c r="Y10" s="387" t="s">
        <v>246</v>
      </c>
      <c r="Z10" s="388" t="s">
        <v>319</v>
      </c>
      <c r="AA10" s="389" t="s">
        <v>79</v>
      </c>
      <c r="AB10" s="389" t="s">
        <v>80</v>
      </c>
      <c r="AC10" s="389" t="s">
        <v>81</v>
      </c>
      <c r="AD10" s="389" t="s">
        <v>82</v>
      </c>
      <c r="AE10" s="389" t="s">
        <v>83</v>
      </c>
      <c r="AF10" s="389" t="s">
        <v>84</v>
      </c>
      <c r="AG10" s="389" t="s">
        <v>85</v>
      </c>
      <c r="AH10" s="389" t="s">
        <v>74</v>
      </c>
      <c r="AI10" s="389" t="s">
        <v>75</v>
      </c>
      <c r="AJ10" s="389" t="s">
        <v>86</v>
      </c>
      <c r="AK10" s="389" t="s">
        <v>87</v>
      </c>
      <c r="AL10" s="389" t="s">
        <v>88</v>
      </c>
      <c r="AM10" s="390" t="s">
        <v>247</v>
      </c>
      <c r="AN10" s="14" t="s">
        <v>151</v>
      </c>
      <c r="AO10" s="14" t="s">
        <v>255</v>
      </c>
      <c r="AP10" s="14" t="s">
        <v>264</v>
      </c>
      <c r="AQ10" s="30" t="s">
        <v>282</v>
      </c>
      <c r="AR10" s="30" t="s">
        <v>283</v>
      </c>
      <c r="AS10" s="33" t="s">
        <v>108</v>
      </c>
      <c r="AT10" s="227" t="s">
        <v>109</v>
      </c>
      <c r="AU10" s="230" t="s">
        <v>111</v>
      </c>
      <c r="AV10" s="17" t="s">
        <v>110</v>
      </c>
      <c r="AW10" s="231" t="s">
        <v>274</v>
      </c>
      <c r="AX10" s="14" t="s">
        <v>353</v>
      </c>
      <c r="AY10" s="14" t="s">
        <v>354</v>
      </c>
      <c r="AZ10" s="33" t="s">
        <v>275</v>
      </c>
      <c r="BA10" s="38" t="s">
        <v>276</v>
      </c>
      <c r="BB10" s="33" t="s">
        <v>281</v>
      </c>
      <c r="BC10" s="33" t="s">
        <v>280</v>
      </c>
      <c r="BD10" s="272" t="s">
        <v>357</v>
      </c>
      <c r="BE10" s="281" t="s">
        <v>246</v>
      </c>
      <c r="BF10" s="33" t="s">
        <v>291</v>
      </c>
      <c r="BG10" s="33" t="s">
        <v>293</v>
      </c>
      <c r="BH10" s="33" t="s">
        <v>339</v>
      </c>
      <c r="BI10" s="272" t="s">
        <v>296</v>
      </c>
      <c r="BJ10" s="14" t="s">
        <v>284</v>
      </c>
      <c r="BK10" s="39" t="s">
        <v>79</v>
      </c>
      <c r="BL10" s="57" t="s">
        <v>80</v>
      </c>
      <c r="BM10" s="57" t="s">
        <v>81</v>
      </c>
      <c r="BN10" s="57" t="s">
        <v>82</v>
      </c>
      <c r="BO10" s="57" t="s">
        <v>83</v>
      </c>
      <c r="BP10" s="57" t="s">
        <v>84</v>
      </c>
      <c r="BQ10" s="57" t="s">
        <v>85</v>
      </c>
      <c r="BR10" s="57" t="s">
        <v>74</v>
      </c>
      <c r="BS10" s="57" t="s">
        <v>75</v>
      </c>
      <c r="BT10" s="57" t="s">
        <v>86</v>
      </c>
      <c r="BU10" s="57" t="s">
        <v>87</v>
      </c>
      <c r="BV10" s="276" t="s">
        <v>88</v>
      </c>
      <c r="BW10" s="14" t="s">
        <v>134</v>
      </c>
      <c r="BX10" s="271" t="s">
        <v>7</v>
      </c>
      <c r="BY10" s="257" t="s">
        <v>79</v>
      </c>
      <c r="BZ10" s="258" t="s">
        <v>80</v>
      </c>
      <c r="CA10" s="258" t="s">
        <v>81</v>
      </c>
      <c r="CB10" s="258" t="s">
        <v>82</v>
      </c>
      <c r="CC10" s="258" t="s">
        <v>83</v>
      </c>
      <c r="CD10" s="258" t="s">
        <v>84</v>
      </c>
      <c r="CE10" s="258" t="s">
        <v>85</v>
      </c>
      <c r="CF10" s="258" t="s">
        <v>74</v>
      </c>
      <c r="CG10" s="258" t="s">
        <v>75</v>
      </c>
      <c r="CH10" s="258" t="s">
        <v>86</v>
      </c>
      <c r="CI10" s="258" t="s">
        <v>87</v>
      </c>
      <c r="CJ10" s="259" t="s">
        <v>88</v>
      </c>
      <c r="CK10" s="268" t="s">
        <v>6</v>
      </c>
      <c r="CL10" s="235" t="s">
        <v>297</v>
      </c>
    </row>
    <row r="11" spans="1:90" s="727" customFormat="1" ht="15" collapsed="1" x14ac:dyDescent="0.2">
      <c r="A11" s="688"/>
      <c r="B11" s="689" t="str">
        <f>CONCATENATE($AO11,IF($AX11&gt;0,CONCATENATE("  (план ",TEXT(INDEX(indBudX,MATCH($AN11,indPrefixX,0)),"# ##0")," руб.)"),""))</f>
        <v>Yandex.ru</v>
      </c>
      <c r="C11" s="650" t="s">
        <v>363</v>
      </c>
      <c r="D11" s="690"/>
      <c r="E11" s="691"/>
      <c r="F11" s="691"/>
      <c r="G11" s="692"/>
      <c r="H11" s="692"/>
      <c r="I11" s="692">
        <f t="shared" ref="I11" ca="1" si="0">$BG11</f>
        <v>0</v>
      </c>
      <c r="J11" s="693">
        <f ca="1">$BH11</f>
        <v>0</v>
      </c>
      <c r="K11" s="694"/>
      <c r="L11" s="695"/>
      <c r="M11" s="695"/>
      <c r="N11" s="695"/>
      <c r="O11" s="695"/>
      <c r="P11" s="695"/>
      <c r="Q11" s="695"/>
      <c r="R11" s="695"/>
      <c r="S11" s="695"/>
      <c r="T11" s="695"/>
      <c r="U11" s="695"/>
      <c r="V11" s="696"/>
      <c r="W11" s="692">
        <f t="shared" ref="W11:W130" ca="1" si="1">$BI11</f>
        <v>0</v>
      </c>
      <c r="X11" s="697"/>
      <c r="Y11" s="698">
        <f ca="1">$BE11</f>
        <v>0</v>
      </c>
      <c r="Z11" s="699"/>
      <c r="AA11" s="700"/>
      <c r="AB11" s="700"/>
      <c r="AC11" s="700"/>
      <c r="AD11" s="700"/>
      <c r="AE11" s="700"/>
      <c r="AF11" s="700"/>
      <c r="AG11" s="700"/>
      <c r="AH11" s="700"/>
      <c r="AI11" s="700"/>
      <c r="AJ11" s="700"/>
      <c r="AK11" s="700"/>
      <c r="AL11" s="700"/>
      <c r="AM11" s="701"/>
      <c r="AN11" s="702" t="s">
        <v>124</v>
      </c>
      <c r="AO11" s="702" t="str">
        <f t="shared" ref="AO11:AO131" si="2">INDEX(indSiteX,MATCH($AN11,indPrefixX,0))</f>
        <v>Yandex.ru</v>
      </c>
      <c r="AP11" s="703">
        <f t="shared" ref="AP11:AP74" si="3">COUNTIF($AN$10:$AN$353,$AN11)</f>
        <v>40</v>
      </c>
      <c r="AQ11" s="704"/>
      <c r="AR11" s="704"/>
      <c r="AS11" s="705"/>
      <c r="AT11" s="706"/>
      <c r="AU11" s="707"/>
      <c r="AV11" s="708"/>
      <c r="AW11" s="709"/>
      <c r="AX11" s="710">
        <f>IF(ISERROR(INDEX(indBudX,MATCH($AN11,indPrefixX,0))),0,INDEX(indBudX,MATCH($AN11,indPrefixX,0)))</f>
        <v>0</v>
      </c>
      <c r="AY11" s="710">
        <f>IF(ISNUMBER($X11),$X11,0)</f>
        <v>0</v>
      </c>
      <c r="AZ11" s="711"/>
      <c r="BA11" s="712"/>
      <c r="BB11" s="711"/>
      <c r="BC11" s="713"/>
      <c r="BD11" s="714"/>
      <c r="BE11" s="715">
        <f t="shared" ref="BE11:BE131" ca="1" si="4">INDEX(indDiscZX,MATCH($AN11,indPrefixX,0))</f>
        <v>0</v>
      </c>
      <c r="BF11" s="711">
        <f t="shared" ref="BF11:BI11" ca="1" si="5">SUM(OFFSET(BF11,1,0,$AP11-1,1))</f>
        <v>0</v>
      </c>
      <c r="BG11" s="711">
        <f t="shared" ca="1" si="5"/>
        <v>0</v>
      </c>
      <c r="BH11" s="711">
        <f t="shared" ca="1" si="5"/>
        <v>0</v>
      </c>
      <c r="BI11" s="716">
        <f t="shared" ca="1" si="5"/>
        <v>0</v>
      </c>
      <c r="BJ11" s="717"/>
      <c r="BK11" s="718"/>
      <c r="BL11" s="719"/>
      <c r="BM11" s="719"/>
      <c r="BN11" s="719"/>
      <c r="BO11" s="719"/>
      <c r="BP11" s="719"/>
      <c r="BQ11" s="719"/>
      <c r="BR11" s="719"/>
      <c r="BS11" s="719"/>
      <c r="BT11" s="719"/>
      <c r="BU11" s="719"/>
      <c r="BV11" s="720"/>
      <c r="BW11" s="710">
        <f t="shared" ref="BW11:BW131" si="6">ROW()-MATCH($AO11,resList,0)+1</f>
        <v>1</v>
      </c>
      <c r="BX11" s="721"/>
      <c r="BY11" s="722"/>
      <c r="BZ11" s="723"/>
      <c r="CA11" s="723"/>
      <c r="CB11" s="723"/>
      <c r="CC11" s="723"/>
      <c r="CD11" s="723"/>
      <c r="CE11" s="723"/>
      <c r="CF11" s="723"/>
      <c r="CG11" s="723"/>
      <c r="CH11" s="723"/>
      <c r="CI11" s="723"/>
      <c r="CJ11" s="724"/>
      <c r="CK11" s="725"/>
      <c r="CL11" s="726"/>
    </row>
    <row r="12" spans="1:90" s="727" customFormat="1" ht="12.75" hidden="1" outlineLevel="1" x14ac:dyDescent="0.2">
      <c r="A12" s="728"/>
      <c r="B12" s="729" t="str">
        <f t="shared" ref="B12:B62" ca="1" si="7">INDEX(INDIRECT(LOWER($AN12)&amp;"Price"),$BW12,2)</f>
        <v>Главная, Пакет "1/5 недельной аудитории", 728х90</v>
      </c>
      <c r="C12" s="730" t="str">
        <f ca="1">$BD12</f>
        <v>Пакет</v>
      </c>
      <c r="D12" s="731">
        <f t="shared" ref="D12:D62" ca="1" si="8">$AU12</f>
        <v>210</v>
      </c>
      <c r="E12" s="731">
        <f t="shared" ref="E12:E62" ca="1" si="9">$AV12</f>
        <v>210</v>
      </c>
      <c r="F12" s="731">
        <f t="shared" ref="F12:F62" ca="1" si="10">$AW12</f>
        <v>210</v>
      </c>
      <c r="G12" s="732">
        <f t="shared" ref="G12:G62" ca="1" si="11">$AZ12</f>
        <v>4620000</v>
      </c>
      <c r="H12" s="732">
        <f t="shared" ref="H12:H62" ca="1" si="12">$BA12</f>
        <v>4620000</v>
      </c>
      <c r="I12" s="732">
        <f t="shared" ref="I12:I64" ca="1" si="13">$BG12</f>
        <v>0</v>
      </c>
      <c r="J12" s="733">
        <f ca="1">$BH12</f>
        <v>0</v>
      </c>
      <c r="K12" s="734"/>
      <c r="L12" s="735"/>
      <c r="M12" s="735"/>
      <c r="N12" s="735"/>
      <c r="O12" s="735"/>
      <c r="P12" s="735"/>
      <c r="Q12" s="735"/>
      <c r="R12" s="735"/>
      <c r="S12" s="735"/>
      <c r="T12" s="735"/>
      <c r="U12" s="735"/>
      <c r="V12" s="736"/>
      <c r="W12" s="732">
        <f t="shared" ca="1" si="1"/>
        <v>0</v>
      </c>
      <c r="X12" s="732"/>
      <c r="Y12" s="737"/>
      <c r="Z12" s="738">
        <f>CK12</f>
        <v>0</v>
      </c>
      <c r="AA12" s="739"/>
      <c r="AB12" s="739"/>
      <c r="AC12" s="739"/>
      <c r="AD12" s="739"/>
      <c r="AE12" s="739"/>
      <c r="AF12" s="739"/>
      <c r="AG12" s="739"/>
      <c r="AH12" s="739"/>
      <c r="AI12" s="739"/>
      <c r="AJ12" s="739"/>
      <c r="AK12" s="739"/>
      <c r="AL12" s="739"/>
      <c r="AM12" s="740"/>
      <c r="AN12" s="741" t="s">
        <v>124</v>
      </c>
      <c r="AO12" s="741" t="str">
        <f t="shared" si="2"/>
        <v>Yandex.ru</v>
      </c>
      <c r="AP12" s="742">
        <f t="shared" si="3"/>
        <v>40</v>
      </c>
      <c r="AQ12" s="743" t="str">
        <f t="shared" ref="AQ12:AR62" ca="1" si="14">HLOOKUP(AQ$10,INDIRECT(LOWER($AN12)&amp;"Price"),$BW12,FALSE)</f>
        <v>-</v>
      </c>
      <c r="AR12" s="743" t="str">
        <f t="shared" ca="1" si="14"/>
        <v>-</v>
      </c>
      <c r="AS12" s="744">
        <v>0</v>
      </c>
      <c r="AT12" s="745">
        <v>0</v>
      </c>
      <c r="AU12" s="746">
        <f t="shared" ref="AU12:AU62" ca="1" si="15">HLOOKUP(AU$10,INDIRECT(LOWER($AN12)&amp;"Price"),$BW12,FALSE)</f>
        <v>210</v>
      </c>
      <c r="AV12" s="747">
        <f t="shared" ref="AV12:AV62" ca="1" si="16">IF(ISERROR($BG12/$BI12),$AU12,$BG12/$BI12)</f>
        <v>210</v>
      </c>
      <c r="AW12" s="748">
        <f t="shared" ref="AW12:AW62" ca="1" si="17">$AV12*(1-$BE12)</f>
        <v>210</v>
      </c>
      <c r="AX12" s="749"/>
      <c r="AY12" s="749"/>
      <c r="AZ12" s="750">
        <f t="shared" ref="AZ12:AZ62" ca="1" si="18">HLOOKUP(AZ$10,INDIRECT(LOWER($AN12)&amp;"Price"),$BW12,FALSE)</f>
        <v>4620000</v>
      </c>
      <c r="BA12" s="751">
        <f t="shared" ref="BA12:BA62" ca="1" si="19">$AZ12*(1-$BE12)</f>
        <v>4620000</v>
      </c>
      <c r="BB12" s="750">
        <f t="shared" ref="BB12:BC62" ca="1" si="20">HLOOKUP(BB$10,INDIRECT(LOWER($AN12)&amp;"Price"),$BW12,FALSE)</f>
        <v>22000</v>
      </c>
      <c r="BC12" s="752" t="str">
        <f t="shared" ca="1" si="20"/>
        <v>Пакет</v>
      </c>
      <c r="BD12" s="745" t="str">
        <f t="shared" ref="BD12:BD62" ca="1" si="21">IF(ISERROR(VLOOKUP($BC12,typeIndexPair,2,FALSE)),"",VLOOKUP($BC12,typeIndexPair,2,FALSE))</f>
        <v>Пакет</v>
      </c>
      <c r="BE12" s="753">
        <f t="shared" ca="1" si="4"/>
        <v>0</v>
      </c>
      <c r="BF12" s="750">
        <f t="array" aca="1" ref="BF12" ca="1">SUM($K12:$V12*$BK12:$BV12)*$AZ12</f>
        <v>0</v>
      </c>
      <c r="BG12" s="750">
        <f t="array" aca="1" ref="BG12" ca="1">SUM($K12:$V12*$BY12:$CJ12*$BK12:$BV12)*$AZ12*$BX12</f>
        <v>0</v>
      </c>
      <c r="BH12" s="750">
        <f t="array" aca="1" ref="BH12" ca="1">SUM($K12:$V12*$BY12:$CJ12*$BK12:$BV12)*(1-$BE12)*$AZ12*$BX12</f>
        <v>0</v>
      </c>
      <c r="BI12" s="754">
        <f t="shared" ref="BI12:BI62" ca="1" si="22">SUM($K12:$V12)*$BB12</f>
        <v>0</v>
      </c>
      <c r="BJ12" s="755" t="str">
        <f t="shared" ref="BJ12:BJ62" ca="1" si="23">IF(ISERROR(HLOOKUP(BJ$10,INDIRECT(LOWER($AN12)&amp;"Price"),$BW12,FALSE)),"Да",HLOOKUP(BJ$10,INDIRECT(LOWER($AN12)&amp;"Price"),$BW12,FALSE))</f>
        <v>Да</v>
      </c>
      <c r="BK12" s="756">
        <f t="shared" ref="BK12:BV44" ca="1" si="24">IF($BJ12="Особ.",INDEX(INDIRECT(LOWER($AN12)&amp;"Season2"),BK$9),IF($BJ12="Да",INDEX(INDIRECT(LOWER($AN12)&amp;"Season"),BK$9),100%))</f>
        <v>0.6</v>
      </c>
      <c r="BL12" s="757">
        <f t="shared" ca="1" si="24"/>
        <v>0.7</v>
      </c>
      <c r="BM12" s="757">
        <f t="shared" ca="1" si="24"/>
        <v>1</v>
      </c>
      <c r="BN12" s="757">
        <f t="shared" ca="1" si="24"/>
        <v>1</v>
      </c>
      <c r="BO12" s="757">
        <f t="shared" ca="1" si="24"/>
        <v>1</v>
      </c>
      <c r="BP12" s="757">
        <f t="shared" ca="1" si="24"/>
        <v>1</v>
      </c>
      <c r="BQ12" s="757">
        <f t="shared" ca="1" si="24"/>
        <v>1</v>
      </c>
      <c r="BR12" s="757">
        <f t="shared" ca="1" si="24"/>
        <v>1</v>
      </c>
      <c r="BS12" s="757">
        <f t="shared" ca="1" si="24"/>
        <v>1.4</v>
      </c>
      <c r="BT12" s="757">
        <f t="shared" ca="1" si="24"/>
        <v>1.4</v>
      </c>
      <c r="BU12" s="757">
        <f t="shared" ca="1" si="24"/>
        <v>1.4</v>
      </c>
      <c r="BV12" s="758">
        <f t="shared" ca="1" si="24"/>
        <v>1.4</v>
      </c>
      <c r="BW12" s="749">
        <f t="shared" si="6"/>
        <v>2</v>
      </c>
      <c r="BX12" s="759">
        <f>IF($AN12="Ya",100%,100%+extraDelayZ)</f>
        <v>1</v>
      </c>
      <c r="BY12" s="760">
        <f>(1+AA12)</f>
        <v>1</v>
      </c>
      <c r="BZ12" s="761">
        <f t="shared" ref="BZ12:CJ12" si="25">(1+AB12)</f>
        <v>1</v>
      </c>
      <c r="CA12" s="761">
        <f t="shared" si="25"/>
        <v>1</v>
      </c>
      <c r="CB12" s="761">
        <f t="shared" si="25"/>
        <v>1</v>
      </c>
      <c r="CC12" s="761">
        <f t="shared" si="25"/>
        <v>1</v>
      </c>
      <c r="CD12" s="761">
        <f t="shared" si="25"/>
        <v>1</v>
      </c>
      <c r="CE12" s="761">
        <f t="shared" si="25"/>
        <v>1</v>
      </c>
      <c r="CF12" s="761">
        <f t="shared" si="25"/>
        <v>1</v>
      </c>
      <c r="CG12" s="761">
        <f t="shared" si="25"/>
        <v>1</v>
      </c>
      <c r="CH12" s="761">
        <f t="shared" si="25"/>
        <v>1</v>
      </c>
      <c r="CI12" s="761">
        <f t="shared" si="25"/>
        <v>1</v>
      </c>
      <c r="CJ12" s="762">
        <f t="shared" si="25"/>
        <v>1</v>
      </c>
      <c r="CK12" s="763">
        <f t="array" ref="CK12">IF(ISERROR(SUM($K12:$V12*$BY12:$CJ12)/SUM($K12:$V12)),1,SUM($K12:$V12*$BY12:$CJ12)/SUM($K12:$V12))-1</f>
        <v>0</v>
      </c>
      <c r="CL12" s="726"/>
    </row>
    <row r="13" spans="1:90" s="727" customFormat="1" ht="12.75" hidden="1" outlineLevel="1" x14ac:dyDescent="0.2">
      <c r="A13" s="728"/>
      <c r="B13" s="729" t="str">
        <f t="shared" ca="1" si="7"/>
        <v>Главная, Пакет "1/3 недельной аудитории", 728х90</v>
      </c>
      <c r="C13" s="730" t="str">
        <f t="shared" ref="C13:C50" ca="1" si="26">$BD13</f>
        <v>Пакет</v>
      </c>
      <c r="D13" s="731">
        <f t="shared" ca="1" si="8"/>
        <v>160</v>
      </c>
      <c r="E13" s="731">
        <f t="shared" ca="1" si="9"/>
        <v>160</v>
      </c>
      <c r="F13" s="731">
        <f t="shared" ca="1" si="10"/>
        <v>160</v>
      </c>
      <c r="G13" s="732">
        <f t="shared" ca="1" si="11"/>
        <v>7040000</v>
      </c>
      <c r="H13" s="732">
        <f t="shared" ca="1" si="12"/>
        <v>7040000</v>
      </c>
      <c r="I13" s="732">
        <f t="shared" ca="1" si="13"/>
        <v>0</v>
      </c>
      <c r="J13" s="733">
        <f ca="1">$BH13</f>
        <v>0</v>
      </c>
      <c r="K13" s="734"/>
      <c r="L13" s="735"/>
      <c r="M13" s="735"/>
      <c r="N13" s="735"/>
      <c r="O13" s="735"/>
      <c r="P13" s="735"/>
      <c r="Q13" s="735"/>
      <c r="R13" s="735"/>
      <c r="S13" s="735"/>
      <c r="T13" s="735"/>
      <c r="U13" s="735"/>
      <c r="V13" s="736"/>
      <c r="W13" s="732">
        <f t="shared" ca="1" si="1"/>
        <v>0</v>
      </c>
      <c r="X13" s="732"/>
      <c r="Y13" s="737"/>
      <c r="Z13" s="738">
        <f t="shared" ref="Z13:Z50" si="27">CK13</f>
        <v>0</v>
      </c>
      <c r="AA13" s="739"/>
      <c r="AB13" s="739"/>
      <c r="AC13" s="739"/>
      <c r="AD13" s="739"/>
      <c r="AE13" s="739"/>
      <c r="AF13" s="739"/>
      <c r="AG13" s="739"/>
      <c r="AH13" s="739"/>
      <c r="AI13" s="739"/>
      <c r="AJ13" s="739"/>
      <c r="AK13" s="739"/>
      <c r="AL13" s="739"/>
      <c r="AM13" s="740"/>
      <c r="AN13" s="741" t="s">
        <v>124</v>
      </c>
      <c r="AO13" s="741" t="str">
        <f t="shared" si="2"/>
        <v>Yandex.ru</v>
      </c>
      <c r="AP13" s="742">
        <f t="shared" si="3"/>
        <v>40</v>
      </c>
      <c r="AQ13" s="743" t="str">
        <f t="shared" ca="1" si="14"/>
        <v>-</v>
      </c>
      <c r="AR13" s="743" t="str">
        <f t="shared" ca="1" si="14"/>
        <v>-</v>
      </c>
      <c r="AS13" s="744">
        <v>0</v>
      </c>
      <c r="AT13" s="745">
        <v>0</v>
      </c>
      <c r="AU13" s="746">
        <f t="shared" ca="1" si="15"/>
        <v>160</v>
      </c>
      <c r="AV13" s="747">
        <f t="shared" ca="1" si="16"/>
        <v>160</v>
      </c>
      <c r="AW13" s="748">
        <f t="shared" ca="1" si="17"/>
        <v>160</v>
      </c>
      <c r="AX13" s="749"/>
      <c r="AY13" s="749"/>
      <c r="AZ13" s="750">
        <f t="shared" ca="1" si="18"/>
        <v>7040000</v>
      </c>
      <c r="BA13" s="751">
        <f t="shared" ca="1" si="19"/>
        <v>7040000</v>
      </c>
      <c r="BB13" s="750">
        <f t="shared" ca="1" si="20"/>
        <v>44000</v>
      </c>
      <c r="BC13" s="752" t="str">
        <f t="shared" ca="1" si="20"/>
        <v>Пакет</v>
      </c>
      <c r="BD13" s="745" t="str">
        <f t="shared" ca="1" si="21"/>
        <v>Пакет</v>
      </c>
      <c r="BE13" s="753">
        <f t="shared" ca="1" si="4"/>
        <v>0</v>
      </c>
      <c r="BF13" s="750">
        <f t="array" aca="1" ref="BF13" ca="1">SUM($K13:$V13*$BK13:$BV13)*$AZ13</f>
        <v>0</v>
      </c>
      <c r="BG13" s="750">
        <f t="array" aca="1" ref="BG13" ca="1">SUM($K13:$V13*$BY13:$CJ13*$BK13:$BV13)*$AZ13*$BX13</f>
        <v>0</v>
      </c>
      <c r="BH13" s="750">
        <f t="array" aca="1" ref="BH13" ca="1">SUM($K13:$V13*$BY13:$CJ13*$BK13:$BV13)*(1-$BE13)*$AZ13*$BX13</f>
        <v>0</v>
      </c>
      <c r="BI13" s="754">
        <f t="shared" ca="1" si="22"/>
        <v>0</v>
      </c>
      <c r="BJ13" s="755" t="str">
        <f t="shared" ca="1" si="23"/>
        <v>Да</v>
      </c>
      <c r="BK13" s="756">
        <f t="shared" ca="1" si="24"/>
        <v>0.6</v>
      </c>
      <c r="BL13" s="757">
        <f t="shared" ca="1" si="24"/>
        <v>0.7</v>
      </c>
      <c r="BM13" s="757">
        <f t="shared" ca="1" si="24"/>
        <v>1</v>
      </c>
      <c r="BN13" s="757">
        <f t="shared" ca="1" si="24"/>
        <v>1</v>
      </c>
      <c r="BO13" s="757">
        <f t="shared" ca="1" si="24"/>
        <v>1</v>
      </c>
      <c r="BP13" s="757">
        <f t="shared" ca="1" si="24"/>
        <v>1</v>
      </c>
      <c r="BQ13" s="757">
        <f t="shared" ca="1" si="24"/>
        <v>1</v>
      </c>
      <c r="BR13" s="757">
        <f t="shared" ca="1" si="24"/>
        <v>1</v>
      </c>
      <c r="BS13" s="757">
        <f t="shared" ca="1" si="24"/>
        <v>1.4</v>
      </c>
      <c r="BT13" s="757">
        <f t="shared" ca="1" si="24"/>
        <v>1.4</v>
      </c>
      <c r="BU13" s="757">
        <f t="shared" ca="1" si="24"/>
        <v>1.4</v>
      </c>
      <c r="BV13" s="758">
        <f t="shared" ca="1" si="24"/>
        <v>1.4</v>
      </c>
      <c r="BW13" s="749">
        <f t="shared" si="6"/>
        <v>3</v>
      </c>
      <c r="BX13" s="759">
        <f>IF($AN13="Ya",100%,100%+extraDelayZ)</f>
        <v>1</v>
      </c>
      <c r="BY13" s="760">
        <f t="shared" ref="BY13:BY50" si="28">(1+AA13)</f>
        <v>1</v>
      </c>
      <c r="BZ13" s="761">
        <f t="shared" ref="BZ13:BZ50" si="29">(1+AB13)</f>
        <v>1</v>
      </c>
      <c r="CA13" s="761">
        <f t="shared" ref="CA13:CA50" si="30">(1+AC13)</f>
        <v>1</v>
      </c>
      <c r="CB13" s="761">
        <f t="shared" ref="CB13:CB50" si="31">(1+AD13)</f>
        <v>1</v>
      </c>
      <c r="CC13" s="761">
        <f t="shared" ref="CC13:CC50" si="32">(1+AE13)</f>
        <v>1</v>
      </c>
      <c r="CD13" s="761">
        <f t="shared" ref="CD13:CD50" si="33">(1+AF13)</f>
        <v>1</v>
      </c>
      <c r="CE13" s="761">
        <f t="shared" ref="CE13:CE50" si="34">(1+AG13)</f>
        <v>1</v>
      </c>
      <c r="CF13" s="761">
        <f t="shared" ref="CF13:CF50" si="35">(1+AH13)</f>
        <v>1</v>
      </c>
      <c r="CG13" s="761">
        <f t="shared" ref="CG13:CG50" si="36">(1+AI13)</f>
        <v>1</v>
      </c>
      <c r="CH13" s="761">
        <f t="shared" ref="CH13:CH50" si="37">(1+AJ13)</f>
        <v>1</v>
      </c>
      <c r="CI13" s="761">
        <f t="shared" ref="CI13:CI50" si="38">(1+AK13)</f>
        <v>1</v>
      </c>
      <c r="CJ13" s="762">
        <f t="shared" ref="CJ13:CJ50" si="39">(1+AL13)</f>
        <v>1</v>
      </c>
      <c r="CK13" s="763">
        <f t="array" ref="CK13">IF(ISERROR(SUM($K13:$V13*$BY13:$CJ13)/SUM($K13:$V13)),1,SUM($K13:$V13*$BY13:$CJ13)/SUM($K13:$V13))-1</f>
        <v>0</v>
      </c>
      <c r="CL13" s="726"/>
    </row>
    <row r="14" spans="1:90" s="727" customFormat="1" ht="12.75" hidden="1" outlineLevel="1" x14ac:dyDescent="0.2">
      <c r="A14" s="728"/>
      <c r="B14" s="729" t="str">
        <f t="shared" ca="1" si="7"/>
        <v>Главная, Пакет "Кино, концерты", 728х90 (динамика без R&amp;F)</v>
      </c>
      <c r="C14" s="730" t="str">
        <f t="shared" ca="1" si="26"/>
        <v>Пакет</v>
      </c>
      <c r="D14" s="731">
        <f t="shared" ca="1" si="8"/>
        <v>170</v>
      </c>
      <c r="E14" s="731">
        <f t="shared" ca="1" si="9"/>
        <v>170</v>
      </c>
      <c r="F14" s="731">
        <f t="shared" ca="1" si="10"/>
        <v>170</v>
      </c>
      <c r="G14" s="732">
        <f t="shared" ca="1" si="11"/>
        <v>3400000</v>
      </c>
      <c r="H14" s="732">
        <f t="shared" ca="1" si="12"/>
        <v>3400000</v>
      </c>
      <c r="I14" s="732">
        <f t="shared" ca="1" si="13"/>
        <v>0</v>
      </c>
      <c r="J14" s="733">
        <f t="shared" ref="J14:J50" ca="1" si="40">$BH14</f>
        <v>0</v>
      </c>
      <c r="K14" s="734"/>
      <c r="L14" s="735"/>
      <c r="M14" s="735"/>
      <c r="N14" s="735"/>
      <c r="O14" s="735"/>
      <c r="P14" s="735"/>
      <c r="Q14" s="735"/>
      <c r="R14" s="735"/>
      <c r="S14" s="735"/>
      <c r="T14" s="735"/>
      <c r="U14" s="735"/>
      <c r="V14" s="736"/>
      <c r="W14" s="732">
        <f t="shared" ca="1" si="1"/>
        <v>0</v>
      </c>
      <c r="X14" s="732"/>
      <c r="Y14" s="737"/>
      <c r="Z14" s="738">
        <f t="shared" si="27"/>
        <v>0</v>
      </c>
      <c r="AA14" s="739"/>
      <c r="AB14" s="739"/>
      <c r="AC14" s="739"/>
      <c r="AD14" s="739"/>
      <c r="AE14" s="739"/>
      <c r="AF14" s="739"/>
      <c r="AG14" s="739"/>
      <c r="AH14" s="739"/>
      <c r="AI14" s="739"/>
      <c r="AJ14" s="739"/>
      <c r="AK14" s="739"/>
      <c r="AL14" s="739"/>
      <c r="AM14" s="740"/>
      <c r="AN14" s="741" t="s">
        <v>124</v>
      </c>
      <c r="AO14" s="741" t="str">
        <f t="shared" si="2"/>
        <v>Yandex.ru</v>
      </c>
      <c r="AP14" s="742">
        <f t="shared" si="3"/>
        <v>40</v>
      </c>
      <c r="AQ14" s="743" t="str">
        <f t="shared" ca="1" si="14"/>
        <v>-</v>
      </c>
      <c r="AR14" s="743" t="str">
        <f t="shared" ca="1" si="14"/>
        <v>-</v>
      </c>
      <c r="AS14" s="744">
        <v>0</v>
      </c>
      <c r="AT14" s="745">
        <v>0</v>
      </c>
      <c r="AU14" s="746">
        <f t="shared" ca="1" si="15"/>
        <v>170</v>
      </c>
      <c r="AV14" s="747">
        <f t="shared" ca="1" si="16"/>
        <v>170</v>
      </c>
      <c r="AW14" s="748">
        <f t="shared" ca="1" si="17"/>
        <v>170</v>
      </c>
      <c r="AX14" s="749"/>
      <c r="AY14" s="749"/>
      <c r="AZ14" s="750">
        <f t="shared" ca="1" si="18"/>
        <v>3400000</v>
      </c>
      <c r="BA14" s="751">
        <f t="shared" ca="1" si="19"/>
        <v>3400000</v>
      </c>
      <c r="BB14" s="750">
        <f t="shared" ca="1" si="20"/>
        <v>20000</v>
      </c>
      <c r="BC14" s="752" t="str">
        <f t="shared" ca="1" si="20"/>
        <v>Пакет</v>
      </c>
      <c r="BD14" s="745" t="str">
        <f t="shared" ca="1" si="21"/>
        <v>Пакет</v>
      </c>
      <c r="BE14" s="753">
        <f t="shared" ca="1" si="4"/>
        <v>0</v>
      </c>
      <c r="BF14" s="750">
        <f t="array" aca="1" ref="BF14" ca="1">SUM($K14:$V14*$BK14:$BV14)*$AZ14</f>
        <v>0</v>
      </c>
      <c r="BG14" s="750">
        <f t="array" aca="1" ref="BG14" ca="1">SUM($K14:$V14*$BY14:$CJ14*$BK14:$BV14)*$AZ14*$BX14</f>
        <v>0</v>
      </c>
      <c r="BH14" s="750">
        <f t="array" aca="1" ref="BH14" ca="1">SUM($K14:$V14*$BY14:$CJ14*$BK14:$BV14)*(1-$BE14)*$AZ14*$BX14</f>
        <v>0</v>
      </c>
      <c r="BI14" s="754">
        <f t="shared" ca="1" si="22"/>
        <v>0</v>
      </c>
      <c r="BJ14" s="755" t="str">
        <f t="shared" ca="1" si="23"/>
        <v>Да</v>
      </c>
      <c r="BK14" s="756">
        <f t="shared" ca="1" si="24"/>
        <v>0.6</v>
      </c>
      <c r="BL14" s="757">
        <f t="shared" ca="1" si="24"/>
        <v>0.7</v>
      </c>
      <c r="BM14" s="757">
        <f t="shared" ca="1" si="24"/>
        <v>1</v>
      </c>
      <c r="BN14" s="757">
        <f t="shared" ca="1" si="24"/>
        <v>1</v>
      </c>
      <c r="BO14" s="757">
        <f t="shared" ca="1" si="24"/>
        <v>1</v>
      </c>
      <c r="BP14" s="757">
        <f t="shared" ca="1" si="24"/>
        <v>1</v>
      </c>
      <c r="BQ14" s="757">
        <f t="shared" ca="1" si="24"/>
        <v>1</v>
      </c>
      <c r="BR14" s="757">
        <f t="shared" ca="1" si="24"/>
        <v>1</v>
      </c>
      <c r="BS14" s="757">
        <f t="shared" ca="1" si="24"/>
        <v>1.4</v>
      </c>
      <c r="BT14" s="757">
        <f t="shared" ca="1" si="24"/>
        <v>1.4</v>
      </c>
      <c r="BU14" s="757">
        <f t="shared" ca="1" si="24"/>
        <v>1.4</v>
      </c>
      <c r="BV14" s="758">
        <f t="shared" ca="1" si="24"/>
        <v>1.4</v>
      </c>
      <c r="BW14" s="749">
        <f t="shared" si="6"/>
        <v>4</v>
      </c>
      <c r="BX14" s="759">
        <f>IF($AN14="Ya",100%,100%+extraDelayZ)</f>
        <v>1</v>
      </c>
      <c r="BY14" s="760">
        <f t="shared" si="28"/>
        <v>1</v>
      </c>
      <c r="BZ14" s="761">
        <f t="shared" si="29"/>
        <v>1</v>
      </c>
      <c r="CA14" s="761">
        <f t="shared" si="30"/>
        <v>1</v>
      </c>
      <c r="CB14" s="761">
        <f t="shared" si="31"/>
        <v>1</v>
      </c>
      <c r="CC14" s="761">
        <f t="shared" si="32"/>
        <v>1</v>
      </c>
      <c r="CD14" s="761">
        <f t="shared" si="33"/>
        <v>1</v>
      </c>
      <c r="CE14" s="761">
        <f t="shared" si="34"/>
        <v>1</v>
      </c>
      <c r="CF14" s="761">
        <f t="shared" si="35"/>
        <v>1</v>
      </c>
      <c r="CG14" s="761">
        <f t="shared" si="36"/>
        <v>1</v>
      </c>
      <c r="CH14" s="761">
        <f t="shared" si="37"/>
        <v>1</v>
      </c>
      <c r="CI14" s="761">
        <f t="shared" si="38"/>
        <v>1</v>
      </c>
      <c r="CJ14" s="762">
        <f t="shared" si="39"/>
        <v>1</v>
      </c>
      <c r="CK14" s="763">
        <f t="array" ref="CK14">IF(ISERROR(SUM($K14:$V14*$BY14:$CJ14)/SUM($K14:$V14)),1,SUM($K14:$V14*$BY14:$CJ14)/SUM($K14:$V14))-1</f>
        <v>0</v>
      </c>
      <c r="CL14" s="726"/>
    </row>
    <row r="15" spans="1:90" s="727" customFormat="1" ht="12.75" hidden="1" outlineLevel="1" x14ac:dyDescent="0.2">
      <c r="A15" s="728"/>
      <c r="B15" s="729" t="str">
        <f t="shared" ca="1" si="7"/>
        <v xml:space="preserve">Почта, Все страницы, 240х400 </v>
      </c>
      <c r="C15" s="730" t="str">
        <f t="shared" ca="1" si="26"/>
        <v>х1000</v>
      </c>
      <c r="D15" s="731">
        <f t="shared" ca="1" si="8"/>
        <v>80</v>
      </c>
      <c r="E15" s="731">
        <f t="shared" ca="1" si="9"/>
        <v>80</v>
      </c>
      <c r="F15" s="731">
        <f t="shared" ca="1" si="10"/>
        <v>80</v>
      </c>
      <c r="G15" s="732">
        <f t="shared" ca="1" si="11"/>
        <v>80</v>
      </c>
      <c r="H15" s="732">
        <f t="shared" ca="1" si="12"/>
        <v>80</v>
      </c>
      <c r="I15" s="732">
        <f t="shared" ca="1" si="13"/>
        <v>0</v>
      </c>
      <c r="J15" s="733">
        <f t="shared" ca="1" si="40"/>
        <v>0</v>
      </c>
      <c r="K15" s="734"/>
      <c r="L15" s="735"/>
      <c r="M15" s="735"/>
      <c r="N15" s="735"/>
      <c r="O15" s="735"/>
      <c r="P15" s="735"/>
      <c r="Q15" s="735"/>
      <c r="R15" s="735"/>
      <c r="S15" s="735"/>
      <c r="T15" s="735"/>
      <c r="U15" s="735"/>
      <c r="V15" s="736"/>
      <c r="W15" s="732">
        <f t="shared" ca="1" si="1"/>
        <v>0</v>
      </c>
      <c r="X15" s="732"/>
      <c r="Y15" s="737"/>
      <c r="Z15" s="738">
        <f t="shared" si="27"/>
        <v>0</v>
      </c>
      <c r="AA15" s="739"/>
      <c r="AB15" s="739"/>
      <c r="AC15" s="739"/>
      <c r="AD15" s="739"/>
      <c r="AE15" s="739"/>
      <c r="AF15" s="739"/>
      <c r="AG15" s="739"/>
      <c r="AH15" s="739"/>
      <c r="AI15" s="739"/>
      <c r="AJ15" s="739"/>
      <c r="AK15" s="739"/>
      <c r="AL15" s="739"/>
      <c r="AM15" s="740"/>
      <c r="AN15" s="741" t="s">
        <v>124</v>
      </c>
      <c r="AO15" s="741" t="str">
        <f t="shared" si="2"/>
        <v>Yandex.ru</v>
      </c>
      <c r="AP15" s="742">
        <f t="shared" si="3"/>
        <v>40</v>
      </c>
      <c r="AQ15" s="743">
        <f t="shared" ca="1" si="14"/>
        <v>0</v>
      </c>
      <c r="AR15" s="743" t="str">
        <f t="shared" ca="1" si="14"/>
        <v>Вкл.</v>
      </c>
      <c r="AS15" s="744">
        <v>0</v>
      </c>
      <c r="AT15" s="745">
        <v>0</v>
      </c>
      <c r="AU15" s="746">
        <f t="shared" ca="1" si="15"/>
        <v>80</v>
      </c>
      <c r="AV15" s="747">
        <f t="shared" ca="1" si="16"/>
        <v>80</v>
      </c>
      <c r="AW15" s="748">
        <f t="shared" ca="1" si="17"/>
        <v>80</v>
      </c>
      <c r="AX15" s="749"/>
      <c r="AY15" s="749"/>
      <c r="AZ15" s="750">
        <f t="shared" ca="1" si="18"/>
        <v>80</v>
      </c>
      <c r="BA15" s="751">
        <f t="shared" ca="1" si="19"/>
        <v>80</v>
      </c>
      <c r="BB15" s="750">
        <f t="shared" ca="1" si="20"/>
        <v>1</v>
      </c>
      <c r="BC15" s="752" t="str">
        <f t="shared" ca="1" si="20"/>
        <v>1000 контактов</v>
      </c>
      <c r="BD15" s="745" t="str">
        <f t="shared" ca="1" si="21"/>
        <v>х1000</v>
      </c>
      <c r="BE15" s="753">
        <f t="shared" ca="1" si="4"/>
        <v>0</v>
      </c>
      <c r="BF15" s="750">
        <f t="array" aca="1" ref="BF15" ca="1">SUM($K15:$V15*$BK15:$BV15)*$AZ15</f>
        <v>0</v>
      </c>
      <c r="BG15" s="750">
        <f t="array" aca="1" ref="BG15" ca="1">SUM($K15:$V15*$BY15:$CJ15*$BK15:$BV15)*$AZ15*$BX15</f>
        <v>0</v>
      </c>
      <c r="BH15" s="750">
        <f t="array" aca="1" ref="BH15" ca="1">SUM($K15:$V15*$BY15:$CJ15*$BK15:$BV15)*(1-$BE15)*$AZ15*$BX15</f>
        <v>0</v>
      </c>
      <c r="BI15" s="754">
        <f t="shared" ca="1" si="22"/>
        <v>0</v>
      </c>
      <c r="BJ15" s="755" t="str">
        <f t="shared" ca="1" si="23"/>
        <v>Да</v>
      </c>
      <c r="BK15" s="756">
        <f t="shared" ca="1" si="24"/>
        <v>0.6</v>
      </c>
      <c r="BL15" s="757">
        <f t="shared" ca="1" si="24"/>
        <v>0.7</v>
      </c>
      <c r="BM15" s="757">
        <f t="shared" ca="1" si="24"/>
        <v>1</v>
      </c>
      <c r="BN15" s="757">
        <f t="shared" ca="1" si="24"/>
        <v>1</v>
      </c>
      <c r="BO15" s="757">
        <f t="shared" ca="1" si="24"/>
        <v>1</v>
      </c>
      <c r="BP15" s="757">
        <f t="shared" ca="1" si="24"/>
        <v>1</v>
      </c>
      <c r="BQ15" s="757">
        <f t="shared" ca="1" si="24"/>
        <v>1</v>
      </c>
      <c r="BR15" s="757">
        <f t="shared" ca="1" si="24"/>
        <v>1</v>
      </c>
      <c r="BS15" s="757">
        <f t="shared" ca="1" si="24"/>
        <v>1.4</v>
      </c>
      <c r="BT15" s="757">
        <f t="shared" ca="1" si="24"/>
        <v>1.4</v>
      </c>
      <c r="BU15" s="757">
        <f t="shared" ca="1" si="24"/>
        <v>1.4</v>
      </c>
      <c r="BV15" s="758">
        <f t="shared" ca="1" si="24"/>
        <v>1.4</v>
      </c>
      <c r="BW15" s="749">
        <f t="shared" si="6"/>
        <v>5</v>
      </c>
      <c r="BX15" s="759">
        <f>IF($AN15="Ya",100%,100%+extraDelayZ)</f>
        <v>1</v>
      </c>
      <c r="BY15" s="760">
        <f t="shared" si="28"/>
        <v>1</v>
      </c>
      <c r="BZ15" s="761">
        <f t="shared" si="29"/>
        <v>1</v>
      </c>
      <c r="CA15" s="761">
        <f t="shared" si="30"/>
        <v>1</v>
      </c>
      <c r="CB15" s="761">
        <f t="shared" si="31"/>
        <v>1</v>
      </c>
      <c r="CC15" s="761">
        <f t="shared" si="32"/>
        <v>1</v>
      </c>
      <c r="CD15" s="761">
        <f t="shared" si="33"/>
        <v>1</v>
      </c>
      <c r="CE15" s="761">
        <f t="shared" si="34"/>
        <v>1</v>
      </c>
      <c r="CF15" s="761">
        <f t="shared" si="35"/>
        <v>1</v>
      </c>
      <c r="CG15" s="761">
        <f t="shared" si="36"/>
        <v>1</v>
      </c>
      <c r="CH15" s="761">
        <f t="shared" si="37"/>
        <v>1</v>
      </c>
      <c r="CI15" s="761">
        <f t="shared" si="38"/>
        <v>1</v>
      </c>
      <c r="CJ15" s="762">
        <f t="shared" si="39"/>
        <v>1</v>
      </c>
      <c r="CK15" s="763">
        <f t="array" ref="CK15">IF(ISERROR(SUM($K15:$V15*$BY15:$CJ15)/SUM($K15:$V15)),1,SUM($K15:$V15*$BY15:$CJ15)/SUM($K15:$V15))-1</f>
        <v>0</v>
      </c>
      <c r="CL15" s="726"/>
    </row>
    <row r="16" spans="1:90" s="727" customFormat="1" ht="12.75" hidden="1" outlineLevel="1" x14ac:dyDescent="0.2">
      <c r="A16" s="728"/>
      <c r="B16" s="729" t="str">
        <f t="shared" ca="1" si="7"/>
        <v>Афиша &amp; Музыка, Пакет "Москва", 240х400</v>
      </c>
      <c r="C16" s="730" t="str">
        <f t="shared" ca="1" si="26"/>
        <v>Пакет</v>
      </c>
      <c r="D16" s="731">
        <f t="shared" ca="1" si="8"/>
        <v>250</v>
      </c>
      <c r="E16" s="731">
        <f t="shared" ca="1" si="9"/>
        <v>250</v>
      </c>
      <c r="F16" s="731">
        <f t="shared" ca="1" si="10"/>
        <v>250</v>
      </c>
      <c r="G16" s="732">
        <f t="shared" ca="1" si="11"/>
        <v>300000</v>
      </c>
      <c r="H16" s="732">
        <f t="shared" ca="1" si="12"/>
        <v>300000</v>
      </c>
      <c r="I16" s="732">
        <f t="shared" ca="1" si="13"/>
        <v>0</v>
      </c>
      <c r="J16" s="733">
        <f t="shared" ca="1" si="40"/>
        <v>0</v>
      </c>
      <c r="K16" s="734"/>
      <c r="L16" s="735"/>
      <c r="M16" s="735"/>
      <c r="N16" s="735"/>
      <c r="O16" s="735"/>
      <c r="P16" s="735"/>
      <c r="Q16" s="735"/>
      <c r="R16" s="735"/>
      <c r="S16" s="735"/>
      <c r="T16" s="735"/>
      <c r="U16" s="735"/>
      <c r="V16" s="736"/>
      <c r="W16" s="732">
        <f t="shared" ca="1" si="1"/>
        <v>0</v>
      </c>
      <c r="X16" s="732"/>
      <c r="Y16" s="737"/>
      <c r="Z16" s="738">
        <f t="shared" ref="Z16" si="41">CK16</f>
        <v>0</v>
      </c>
      <c r="AA16" s="739"/>
      <c r="AB16" s="739"/>
      <c r="AC16" s="739"/>
      <c r="AD16" s="739"/>
      <c r="AE16" s="739"/>
      <c r="AF16" s="739"/>
      <c r="AG16" s="739"/>
      <c r="AH16" s="739"/>
      <c r="AI16" s="739"/>
      <c r="AJ16" s="739"/>
      <c r="AK16" s="739"/>
      <c r="AL16" s="739"/>
      <c r="AM16" s="740"/>
      <c r="AN16" s="741" t="s">
        <v>124</v>
      </c>
      <c r="AO16" s="741" t="str">
        <f t="shared" si="2"/>
        <v>Yandex.ru</v>
      </c>
      <c r="AP16" s="742">
        <f t="shared" si="3"/>
        <v>40</v>
      </c>
      <c r="AQ16" s="743" t="str">
        <f t="shared" ca="1" si="14"/>
        <v>Вкл.</v>
      </c>
      <c r="AR16" s="743" t="str">
        <f t="shared" ca="1" si="14"/>
        <v>-</v>
      </c>
      <c r="AS16" s="744">
        <v>0</v>
      </c>
      <c r="AT16" s="745">
        <v>0</v>
      </c>
      <c r="AU16" s="746">
        <f t="shared" ca="1" si="15"/>
        <v>250</v>
      </c>
      <c r="AV16" s="747">
        <f t="shared" ca="1" si="16"/>
        <v>250</v>
      </c>
      <c r="AW16" s="748">
        <f t="shared" ca="1" si="17"/>
        <v>250</v>
      </c>
      <c r="AX16" s="749"/>
      <c r="AY16" s="749"/>
      <c r="AZ16" s="750">
        <f t="shared" ca="1" si="18"/>
        <v>300000</v>
      </c>
      <c r="BA16" s="751">
        <f t="shared" ca="1" si="19"/>
        <v>300000</v>
      </c>
      <c r="BB16" s="750">
        <f t="shared" ca="1" si="20"/>
        <v>1200</v>
      </c>
      <c r="BC16" s="752" t="str">
        <f t="shared" ca="1" si="20"/>
        <v>Пакет</v>
      </c>
      <c r="BD16" s="745" t="str">
        <f t="shared" ca="1" si="21"/>
        <v>Пакет</v>
      </c>
      <c r="BE16" s="753">
        <f t="shared" ca="1" si="4"/>
        <v>0</v>
      </c>
      <c r="BF16" s="750">
        <f t="array" aca="1" ref="BF16" ca="1">SUM($K16:$V16*$BK16:$BV16)*$AZ16</f>
        <v>0</v>
      </c>
      <c r="BG16" s="750">
        <f t="array" aca="1" ref="BG16" ca="1">SUM($K16:$V16*$BY16:$CJ16*$BK16:$BV16)*$AZ16*$BX16</f>
        <v>0</v>
      </c>
      <c r="BH16" s="750">
        <f t="array" aca="1" ref="BH16" ca="1">SUM($K16:$V16*$BY16:$CJ16*$BK16:$BV16)*(1-$BE16)*$AZ16*$BX16</f>
        <v>0</v>
      </c>
      <c r="BI16" s="754">
        <f t="shared" ca="1" si="22"/>
        <v>0</v>
      </c>
      <c r="BJ16" s="755" t="str">
        <f t="shared" ca="1" si="23"/>
        <v>Да</v>
      </c>
      <c r="BK16" s="756">
        <f t="shared" ca="1" si="24"/>
        <v>0.6</v>
      </c>
      <c r="BL16" s="757">
        <f t="shared" ca="1" si="24"/>
        <v>0.7</v>
      </c>
      <c r="BM16" s="757">
        <f t="shared" ca="1" si="24"/>
        <v>1</v>
      </c>
      <c r="BN16" s="757">
        <f t="shared" ca="1" si="24"/>
        <v>1</v>
      </c>
      <c r="BO16" s="757">
        <f t="shared" ca="1" si="24"/>
        <v>1</v>
      </c>
      <c r="BP16" s="757">
        <f t="shared" ca="1" si="24"/>
        <v>1</v>
      </c>
      <c r="BQ16" s="757">
        <f t="shared" ca="1" si="24"/>
        <v>1</v>
      </c>
      <c r="BR16" s="757">
        <f t="shared" ca="1" si="24"/>
        <v>1</v>
      </c>
      <c r="BS16" s="757">
        <f t="shared" ca="1" si="24"/>
        <v>1.4</v>
      </c>
      <c r="BT16" s="757">
        <f t="shared" ca="1" si="24"/>
        <v>1.4</v>
      </c>
      <c r="BU16" s="757">
        <f t="shared" ca="1" si="24"/>
        <v>1.4</v>
      </c>
      <c r="BV16" s="758">
        <f t="shared" ca="1" si="24"/>
        <v>1.4</v>
      </c>
      <c r="BW16" s="749">
        <f t="shared" si="6"/>
        <v>6</v>
      </c>
      <c r="BX16" s="759">
        <f>IF($AN16="Ya",100%,100%+extraDelayZ)</f>
        <v>1</v>
      </c>
      <c r="BY16" s="760">
        <f t="shared" ref="BY16" si="42">(1+AA16)</f>
        <v>1</v>
      </c>
      <c r="BZ16" s="761">
        <f t="shared" ref="BZ16" si="43">(1+AB16)</f>
        <v>1</v>
      </c>
      <c r="CA16" s="761">
        <f t="shared" ref="CA16" si="44">(1+AC16)</f>
        <v>1</v>
      </c>
      <c r="CB16" s="761">
        <f t="shared" ref="CB16" si="45">(1+AD16)</f>
        <v>1</v>
      </c>
      <c r="CC16" s="761">
        <f t="shared" ref="CC16" si="46">(1+AE16)</f>
        <v>1</v>
      </c>
      <c r="CD16" s="761">
        <f t="shared" ref="CD16" si="47">(1+AF16)</f>
        <v>1</v>
      </c>
      <c r="CE16" s="761">
        <f t="shared" ref="CE16" si="48">(1+AG16)</f>
        <v>1</v>
      </c>
      <c r="CF16" s="761">
        <f t="shared" ref="CF16" si="49">(1+AH16)</f>
        <v>1</v>
      </c>
      <c r="CG16" s="761">
        <f t="shared" ref="CG16" si="50">(1+AI16)</f>
        <v>1</v>
      </c>
      <c r="CH16" s="761">
        <f t="shared" ref="CH16" si="51">(1+AJ16)</f>
        <v>1</v>
      </c>
      <c r="CI16" s="761">
        <f t="shared" ref="CI16" si="52">(1+AK16)</f>
        <v>1</v>
      </c>
      <c r="CJ16" s="762">
        <f t="shared" ref="CJ16" si="53">(1+AL16)</f>
        <v>1</v>
      </c>
      <c r="CK16" s="763">
        <f t="array" ref="CK16">IF(ISERROR(SUM($K16:$V16*$BY16:$CJ16)/SUM($K16:$V16)),1,SUM($K16:$V16*$BY16:$CJ16)/SUM($K16:$V16))-1</f>
        <v>0</v>
      </c>
      <c r="CL16" s="726"/>
    </row>
    <row r="17" spans="1:90" s="727" customFormat="1" ht="12.75" hidden="1" outlineLevel="1" x14ac:dyDescent="0.2">
      <c r="A17" s="728"/>
      <c r="B17" s="729" t="str">
        <f t="shared" ca="1" si="7"/>
        <v>Афиша &amp; Музыка, Пакет "Санкт-Петербург", 240х400</v>
      </c>
      <c r="C17" s="730" t="str">
        <f t="shared" ca="1" si="26"/>
        <v>Пакет</v>
      </c>
      <c r="D17" s="731">
        <f t="shared" ca="1" si="8"/>
        <v>150</v>
      </c>
      <c r="E17" s="731">
        <f t="shared" ca="1" si="9"/>
        <v>150</v>
      </c>
      <c r="F17" s="731">
        <f t="shared" ca="1" si="10"/>
        <v>150</v>
      </c>
      <c r="G17" s="732">
        <f t="shared" ca="1" si="11"/>
        <v>30000</v>
      </c>
      <c r="H17" s="732">
        <f t="shared" ca="1" si="12"/>
        <v>30000</v>
      </c>
      <c r="I17" s="732">
        <f t="shared" ca="1" si="13"/>
        <v>0</v>
      </c>
      <c r="J17" s="733">
        <f t="shared" ca="1" si="40"/>
        <v>0</v>
      </c>
      <c r="K17" s="734"/>
      <c r="L17" s="735"/>
      <c r="M17" s="735"/>
      <c r="N17" s="735"/>
      <c r="O17" s="735"/>
      <c r="P17" s="735"/>
      <c r="Q17" s="735"/>
      <c r="R17" s="735"/>
      <c r="S17" s="735"/>
      <c r="T17" s="735"/>
      <c r="U17" s="735"/>
      <c r="V17" s="736"/>
      <c r="W17" s="732">
        <f t="shared" ca="1" si="1"/>
        <v>0</v>
      </c>
      <c r="X17" s="732"/>
      <c r="Y17" s="737"/>
      <c r="Z17" s="738">
        <f t="shared" si="27"/>
        <v>0</v>
      </c>
      <c r="AA17" s="739"/>
      <c r="AB17" s="739"/>
      <c r="AC17" s="739"/>
      <c r="AD17" s="739"/>
      <c r="AE17" s="739"/>
      <c r="AF17" s="739"/>
      <c r="AG17" s="739"/>
      <c r="AH17" s="739"/>
      <c r="AI17" s="739"/>
      <c r="AJ17" s="739"/>
      <c r="AK17" s="739"/>
      <c r="AL17" s="739"/>
      <c r="AM17" s="740"/>
      <c r="AN17" s="741" t="s">
        <v>124</v>
      </c>
      <c r="AO17" s="741" t="str">
        <f t="shared" si="2"/>
        <v>Yandex.ru</v>
      </c>
      <c r="AP17" s="742">
        <f t="shared" si="3"/>
        <v>40</v>
      </c>
      <c r="AQ17" s="743" t="str">
        <f t="shared" ca="1" si="14"/>
        <v>Вкл.</v>
      </c>
      <c r="AR17" s="743" t="str">
        <f t="shared" ca="1" si="14"/>
        <v>-</v>
      </c>
      <c r="AS17" s="744">
        <v>0</v>
      </c>
      <c r="AT17" s="745">
        <v>0</v>
      </c>
      <c r="AU17" s="746">
        <f t="shared" ca="1" si="15"/>
        <v>150</v>
      </c>
      <c r="AV17" s="747">
        <f t="shared" ca="1" si="16"/>
        <v>150</v>
      </c>
      <c r="AW17" s="748">
        <f t="shared" ca="1" si="17"/>
        <v>150</v>
      </c>
      <c r="AX17" s="749"/>
      <c r="AY17" s="749"/>
      <c r="AZ17" s="750">
        <f t="shared" ca="1" si="18"/>
        <v>30000</v>
      </c>
      <c r="BA17" s="751">
        <f t="shared" ca="1" si="19"/>
        <v>30000</v>
      </c>
      <c r="BB17" s="750">
        <f t="shared" ca="1" si="20"/>
        <v>200</v>
      </c>
      <c r="BC17" s="752" t="str">
        <f t="shared" ca="1" si="20"/>
        <v>Пакет</v>
      </c>
      <c r="BD17" s="745" t="str">
        <f t="shared" ca="1" si="21"/>
        <v>Пакет</v>
      </c>
      <c r="BE17" s="753">
        <f t="shared" ca="1" si="4"/>
        <v>0</v>
      </c>
      <c r="BF17" s="750">
        <f t="array" aca="1" ref="BF17" ca="1">SUM($K17:$V17*$BK17:$BV17)*$AZ17</f>
        <v>0</v>
      </c>
      <c r="BG17" s="750">
        <f t="array" aca="1" ref="BG17" ca="1">SUM($K17:$V17*$BY17:$CJ17*$BK17:$BV17)*$AZ17*$BX17</f>
        <v>0</v>
      </c>
      <c r="BH17" s="750">
        <f t="array" aca="1" ref="BH17" ca="1">SUM($K17:$V17*$BY17:$CJ17*$BK17:$BV17)*(1-$BE17)*$AZ17*$BX17</f>
        <v>0</v>
      </c>
      <c r="BI17" s="754">
        <f t="shared" ca="1" si="22"/>
        <v>0</v>
      </c>
      <c r="BJ17" s="755" t="str">
        <f t="shared" ca="1" si="23"/>
        <v>Да</v>
      </c>
      <c r="BK17" s="756">
        <f t="shared" ca="1" si="24"/>
        <v>0.6</v>
      </c>
      <c r="BL17" s="757">
        <f t="shared" ca="1" si="24"/>
        <v>0.7</v>
      </c>
      <c r="BM17" s="757">
        <f t="shared" ca="1" si="24"/>
        <v>1</v>
      </c>
      <c r="BN17" s="757">
        <f t="shared" ca="1" si="24"/>
        <v>1</v>
      </c>
      <c r="BO17" s="757">
        <f t="shared" ca="1" si="24"/>
        <v>1</v>
      </c>
      <c r="BP17" s="757">
        <f t="shared" ca="1" si="24"/>
        <v>1</v>
      </c>
      <c r="BQ17" s="757">
        <f t="shared" ca="1" si="24"/>
        <v>1</v>
      </c>
      <c r="BR17" s="757">
        <f t="shared" ca="1" si="24"/>
        <v>1</v>
      </c>
      <c r="BS17" s="757">
        <f t="shared" ca="1" si="24"/>
        <v>1.4</v>
      </c>
      <c r="BT17" s="757">
        <f t="shared" ca="1" si="24"/>
        <v>1.4</v>
      </c>
      <c r="BU17" s="757">
        <f t="shared" ca="1" si="24"/>
        <v>1.4</v>
      </c>
      <c r="BV17" s="758">
        <f t="shared" ca="1" si="24"/>
        <v>1.4</v>
      </c>
      <c r="BW17" s="749">
        <f t="shared" si="6"/>
        <v>7</v>
      </c>
      <c r="BX17" s="759">
        <f>IF($AN17="Ya",100%,100%+extraDelayZ)</f>
        <v>1</v>
      </c>
      <c r="BY17" s="760">
        <f t="shared" si="28"/>
        <v>1</v>
      </c>
      <c r="BZ17" s="761">
        <f t="shared" si="29"/>
        <v>1</v>
      </c>
      <c r="CA17" s="761">
        <f t="shared" si="30"/>
        <v>1</v>
      </c>
      <c r="CB17" s="761">
        <f t="shared" si="31"/>
        <v>1</v>
      </c>
      <c r="CC17" s="761">
        <f t="shared" si="32"/>
        <v>1</v>
      </c>
      <c r="CD17" s="761">
        <f t="shared" si="33"/>
        <v>1</v>
      </c>
      <c r="CE17" s="761">
        <f t="shared" si="34"/>
        <v>1</v>
      </c>
      <c r="CF17" s="761">
        <f t="shared" si="35"/>
        <v>1</v>
      </c>
      <c r="CG17" s="761">
        <f t="shared" si="36"/>
        <v>1</v>
      </c>
      <c r="CH17" s="761">
        <f t="shared" si="37"/>
        <v>1</v>
      </c>
      <c r="CI17" s="761">
        <f t="shared" si="38"/>
        <v>1</v>
      </c>
      <c r="CJ17" s="762">
        <f t="shared" si="39"/>
        <v>1</v>
      </c>
      <c r="CK17" s="763">
        <f t="array" ref="CK17">IF(ISERROR(SUM($K17:$V17*$BY17:$CJ17)/SUM($K17:$V17)),1,SUM($K17:$V17*$BY17:$CJ17)/SUM($K17:$V17))-1</f>
        <v>0</v>
      </c>
      <c r="CL17" s="726"/>
    </row>
    <row r="18" spans="1:90" s="727" customFormat="1" ht="12.75" hidden="1" outlineLevel="1" x14ac:dyDescent="0.2">
      <c r="A18" s="728"/>
      <c r="B18" s="729" t="str">
        <f t="shared" ca="1" si="7"/>
        <v>Афиша &amp; Музыка, Пакет "Федеральный 2000К", 240x400</v>
      </c>
      <c r="C18" s="730" t="str">
        <f t="shared" ca="1" si="26"/>
        <v>Пакет</v>
      </c>
      <c r="D18" s="731">
        <f t="shared" ca="1" si="8"/>
        <v>100</v>
      </c>
      <c r="E18" s="731">
        <f t="shared" ca="1" si="9"/>
        <v>100</v>
      </c>
      <c r="F18" s="731">
        <f t="shared" ca="1" si="10"/>
        <v>100</v>
      </c>
      <c r="G18" s="732">
        <f t="shared" ca="1" si="11"/>
        <v>200000</v>
      </c>
      <c r="H18" s="732">
        <f t="shared" ca="1" si="12"/>
        <v>200000</v>
      </c>
      <c r="I18" s="732">
        <f t="shared" ca="1" si="13"/>
        <v>0</v>
      </c>
      <c r="J18" s="733">
        <f t="shared" ca="1" si="40"/>
        <v>0</v>
      </c>
      <c r="K18" s="734"/>
      <c r="L18" s="735"/>
      <c r="M18" s="735"/>
      <c r="N18" s="735"/>
      <c r="O18" s="735"/>
      <c r="P18" s="735"/>
      <c r="Q18" s="735"/>
      <c r="R18" s="735"/>
      <c r="S18" s="735"/>
      <c r="T18" s="735"/>
      <c r="U18" s="735"/>
      <c r="V18" s="736"/>
      <c r="W18" s="732">
        <f t="shared" ca="1" si="1"/>
        <v>0</v>
      </c>
      <c r="X18" s="732"/>
      <c r="Y18" s="737"/>
      <c r="Z18" s="738">
        <f t="shared" si="27"/>
        <v>0</v>
      </c>
      <c r="AA18" s="739"/>
      <c r="AB18" s="739"/>
      <c r="AC18" s="739"/>
      <c r="AD18" s="739"/>
      <c r="AE18" s="739"/>
      <c r="AF18" s="739"/>
      <c r="AG18" s="739"/>
      <c r="AH18" s="739"/>
      <c r="AI18" s="739"/>
      <c r="AJ18" s="739"/>
      <c r="AK18" s="739"/>
      <c r="AL18" s="739"/>
      <c r="AM18" s="740"/>
      <c r="AN18" s="741" t="s">
        <v>124</v>
      </c>
      <c r="AO18" s="741" t="str">
        <f t="shared" si="2"/>
        <v>Yandex.ru</v>
      </c>
      <c r="AP18" s="742">
        <f t="shared" si="3"/>
        <v>40</v>
      </c>
      <c r="AQ18" s="743" t="str">
        <f t="shared" ca="1" si="14"/>
        <v>Вкл.</v>
      </c>
      <c r="AR18" s="743" t="str">
        <f t="shared" ca="1" si="14"/>
        <v>-</v>
      </c>
      <c r="AS18" s="744">
        <v>0</v>
      </c>
      <c r="AT18" s="745">
        <v>0</v>
      </c>
      <c r="AU18" s="746">
        <f t="shared" ca="1" si="15"/>
        <v>100</v>
      </c>
      <c r="AV18" s="747">
        <f t="shared" ca="1" si="16"/>
        <v>100</v>
      </c>
      <c r="AW18" s="748">
        <f t="shared" ca="1" si="17"/>
        <v>100</v>
      </c>
      <c r="AX18" s="749"/>
      <c r="AY18" s="749"/>
      <c r="AZ18" s="750">
        <f t="shared" ca="1" si="18"/>
        <v>200000</v>
      </c>
      <c r="BA18" s="751">
        <f t="shared" ca="1" si="19"/>
        <v>200000</v>
      </c>
      <c r="BB18" s="750">
        <f t="shared" ca="1" si="20"/>
        <v>2000</v>
      </c>
      <c r="BC18" s="752" t="str">
        <f t="shared" ca="1" si="20"/>
        <v>Пакет</v>
      </c>
      <c r="BD18" s="745" t="str">
        <f t="shared" ca="1" si="21"/>
        <v>Пакет</v>
      </c>
      <c r="BE18" s="753">
        <f t="shared" ca="1" si="4"/>
        <v>0</v>
      </c>
      <c r="BF18" s="750">
        <f t="array" aca="1" ref="BF18" ca="1">SUM($K18:$V18*$BK18:$BV18)*$AZ18</f>
        <v>0</v>
      </c>
      <c r="BG18" s="750">
        <f t="array" aca="1" ref="BG18" ca="1">SUM($K18:$V18*$BY18:$CJ18*$BK18:$BV18)*$AZ18*$BX18</f>
        <v>0</v>
      </c>
      <c r="BH18" s="750">
        <f t="array" aca="1" ref="BH18" ca="1">SUM($K18:$V18*$BY18:$CJ18*$BK18:$BV18)*(1-$BE18)*$AZ18*$BX18</f>
        <v>0</v>
      </c>
      <c r="BI18" s="754">
        <f t="shared" ca="1" si="22"/>
        <v>0</v>
      </c>
      <c r="BJ18" s="755" t="str">
        <f t="shared" ca="1" si="23"/>
        <v>Да</v>
      </c>
      <c r="BK18" s="756">
        <f t="shared" ca="1" si="24"/>
        <v>0.6</v>
      </c>
      <c r="BL18" s="757">
        <f t="shared" ca="1" si="24"/>
        <v>0.7</v>
      </c>
      <c r="BM18" s="757">
        <f t="shared" ca="1" si="24"/>
        <v>1</v>
      </c>
      <c r="BN18" s="757">
        <f t="shared" ca="1" si="24"/>
        <v>1</v>
      </c>
      <c r="BO18" s="757">
        <f t="shared" ca="1" si="24"/>
        <v>1</v>
      </c>
      <c r="BP18" s="757">
        <f t="shared" ca="1" si="24"/>
        <v>1</v>
      </c>
      <c r="BQ18" s="757">
        <f t="shared" ca="1" si="24"/>
        <v>1</v>
      </c>
      <c r="BR18" s="757">
        <f t="shared" ca="1" si="24"/>
        <v>1</v>
      </c>
      <c r="BS18" s="757">
        <f t="shared" ca="1" si="24"/>
        <v>1.4</v>
      </c>
      <c r="BT18" s="757">
        <f t="shared" ca="1" si="24"/>
        <v>1.4</v>
      </c>
      <c r="BU18" s="757">
        <f t="shared" ca="1" si="24"/>
        <v>1.4</v>
      </c>
      <c r="BV18" s="758">
        <f t="shared" ca="1" si="24"/>
        <v>1.4</v>
      </c>
      <c r="BW18" s="749">
        <f t="shared" si="6"/>
        <v>8</v>
      </c>
      <c r="BX18" s="759">
        <f>IF($AN18="Ya",100%,100%+extraDelayZ)</f>
        <v>1</v>
      </c>
      <c r="BY18" s="760">
        <f t="shared" si="28"/>
        <v>1</v>
      </c>
      <c r="BZ18" s="761">
        <f t="shared" si="29"/>
        <v>1</v>
      </c>
      <c r="CA18" s="761">
        <f t="shared" si="30"/>
        <v>1</v>
      </c>
      <c r="CB18" s="761">
        <f t="shared" si="31"/>
        <v>1</v>
      </c>
      <c r="CC18" s="761">
        <f t="shared" si="32"/>
        <v>1</v>
      </c>
      <c r="CD18" s="761">
        <f t="shared" si="33"/>
        <v>1</v>
      </c>
      <c r="CE18" s="761">
        <f t="shared" si="34"/>
        <v>1</v>
      </c>
      <c r="CF18" s="761">
        <f t="shared" si="35"/>
        <v>1</v>
      </c>
      <c r="CG18" s="761">
        <f t="shared" si="36"/>
        <v>1</v>
      </c>
      <c r="CH18" s="761">
        <f t="shared" si="37"/>
        <v>1</v>
      </c>
      <c r="CI18" s="761">
        <f t="shared" si="38"/>
        <v>1</v>
      </c>
      <c r="CJ18" s="762">
        <f t="shared" si="39"/>
        <v>1</v>
      </c>
      <c r="CK18" s="763">
        <f t="array" ref="CK18">IF(ISERROR(SUM($K18:$V18*$BY18:$CJ18)/SUM($K18:$V18)),1,SUM($K18:$V18*$BY18:$CJ18)/SUM($K18:$V18))-1</f>
        <v>0</v>
      </c>
      <c r="CL18" s="726"/>
    </row>
    <row r="19" spans="1:90" s="727" customFormat="1" ht="12.75" hidden="1" outlineLevel="1" x14ac:dyDescent="0.2">
      <c r="A19" s="728"/>
      <c r="B19" s="729" t="str">
        <f t="shared" ca="1" si="7"/>
        <v>Новости, Пакет "Федеральный 2000К", 240x400</v>
      </c>
      <c r="C19" s="730" t="str">
        <f t="shared" ca="1" si="26"/>
        <v>Пакет</v>
      </c>
      <c r="D19" s="731">
        <f t="shared" ca="1" si="8"/>
        <v>180</v>
      </c>
      <c r="E19" s="731">
        <f t="shared" ca="1" si="9"/>
        <v>180</v>
      </c>
      <c r="F19" s="731">
        <f t="shared" ca="1" si="10"/>
        <v>180</v>
      </c>
      <c r="G19" s="732">
        <f t="shared" ca="1" si="11"/>
        <v>360000</v>
      </c>
      <c r="H19" s="732">
        <f t="shared" ca="1" si="12"/>
        <v>360000</v>
      </c>
      <c r="I19" s="732">
        <f t="shared" ca="1" si="13"/>
        <v>0</v>
      </c>
      <c r="J19" s="733">
        <f t="shared" ca="1" si="40"/>
        <v>0</v>
      </c>
      <c r="K19" s="734"/>
      <c r="L19" s="735"/>
      <c r="M19" s="735"/>
      <c r="N19" s="735"/>
      <c r="O19" s="735"/>
      <c r="P19" s="735"/>
      <c r="Q19" s="735"/>
      <c r="R19" s="735"/>
      <c r="S19" s="735"/>
      <c r="T19" s="735"/>
      <c r="U19" s="735"/>
      <c r="V19" s="736"/>
      <c r="W19" s="732">
        <f t="shared" ca="1" si="1"/>
        <v>0</v>
      </c>
      <c r="X19" s="732"/>
      <c r="Y19" s="737"/>
      <c r="Z19" s="738">
        <f t="shared" si="27"/>
        <v>0</v>
      </c>
      <c r="AA19" s="739"/>
      <c r="AB19" s="739"/>
      <c r="AC19" s="739"/>
      <c r="AD19" s="739"/>
      <c r="AE19" s="739"/>
      <c r="AF19" s="739"/>
      <c r="AG19" s="739"/>
      <c r="AH19" s="739"/>
      <c r="AI19" s="739"/>
      <c r="AJ19" s="739"/>
      <c r="AK19" s="739"/>
      <c r="AL19" s="739"/>
      <c r="AM19" s="740"/>
      <c r="AN19" s="741" t="s">
        <v>124</v>
      </c>
      <c r="AO19" s="741" t="str">
        <f t="shared" si="2"/>
        <v>Yandex.ru</v>
      </c>
      <c r="AP19" s="742">
        <f t="shared" si="3"/>
        <v>40</v>
      </c>
      <c r="AQ19" s="743" t="str">
        <f t="shared" ca="1" si="14"/>
        <v>Вкл.</v>
      </c>
      <c r="AR19" s="743" t="str">
        <f t="shared" ca="1" si="14"/>
        <v>-</v>
      </c>
      <c r="AS19" s="744">
        <v>0</v>
      </c>
      <c r="AT19" s="745">
        <v>0</v>
      </c>
      <c r="AU19" s="746">
        <f t="shared" ca="1" si="15"/>
        <v>180</v>
      </c>
      <c r="AV19" s="747">
        <f t="shared" ca="1" si="16"/>
        <v>180</v>
      </c>
      <c r="AW19" s="748">
        <f t="shared" ca="1" si="17"/>
        <v>180</v>
      </c>
      <c r="AX19" s="749"/>
      <c r="AY19" s="749"/>
      <c r="AZ19" s="750">
        <f t="shared" ca="1" si="18"/>
        <v>360000</v>
      </c>
      <c r="BA19" s="751">
        <f t="shared" ca="1" si="19"/>
        <v>360000</v>
      </c>
      <c r="BB19" s="750">
        <f t="shared" ca="1" si="20"/>
        <v>2000</v>
      </c>
      <c r="BC19" s="752" t="str">
        <f t="shared" ca="1" si="20"/>
        <v>Пакет</v>
      </c>
      <c r="BD19" s="745" t="str">
        <f t="shared" ca="1" si="21"/>
        <v>Пакет</v>
      </c>
      <c r="BE19" s="753">
        <f t="shared" ca="1" si="4"/>
        <v>0</v>
      </c>
      <c r="BF19" s="750">
        <f t="array" aca="1" ref="BF19" ca="1">SUM($K19:$V19*$BK19:$BV19)*$AZ19</f>
        <v>0</v>
      </c>
      <c r="BG19" s="750">
        <f t="array" aca="1" ref="BG19" ca="1">SUM($K19:$V19*$BY19:$CJ19*$BK19:$BV19)*$AZ19*$BX19</f>
        <v>0</v>
      </c>
      <c r="BH19" s="750">
        <f t="array" aca="1" ref="BH19" ca="1">SUM($K19:$V19*$BY19:$CJ19*$BK19:$BV19)*(1-$BE19)*$AZ19*$BX19</f>
        <v>0</v>
      </c>
      <c r="BI19" s="754">
        <f t="shared" ca="1" si="22"/>
        <v>0</v>
      </c>
      <c r="BJ19" s="755" t="str">
        <f t="shared" ca="1" si="23"/>
        <v>Да</v>
      </c>
      <c r="BK19" s="756">
        <f t="shared" ca="1" si="24"/>
        <v>0.6</v>
      </c>
      <c r="BL19" s="757">
        <f t="shared" ca="1" si="24"/>
        <v>0.7</v>
      </c>
      <c r="BM19" s="757">
        <f t="shared" ca="1" si="24"/>
        <v>1</v>
      </c>
      <c r="BN19" s="757">
        <f t="shared" ca="1" si="24"/>
        <v>1</v>
      </c>
      <c r="BO19" s="757">
        <f t="shared" ca="1" si="24"/>
        <v>1</v>
      </c>
      <c r="BP19" s="757">
        <f t="shared" ca="1" si="24"/>
        <v>1</v>
      </c>
      <c r="BQ19" s="757">
        <f t="shared" ca="1" si="24"/>
        <v>1</v>
      </c>
      <c r="BR19" s="757">
        <f t="shared" ca="1" si="24"/>
        <v>1</v>
      </c>
      <c r="BS19" s="757">
        <f t="shared" ca="1" si="24"/>
        <v>1.4</v>
      </c>
      <c r="BT19" s="757">
        <f t="shared" ca="1" si="24"/>
        <v>1.4</v>
      </c>
      <c r="BU19" s="757">
        <f t="shared" ca="1" si="24"/>
        <v>1.4</v>
      </c>
      <c r="BV19" s="758">
        <f t="shared" ca="1" si="24"/>
        <v>1.4</v>
      </c>
      <c r="BW19" s="749">
        <f t="shared" si="6"/>
        <v>9</v>
      </c>
      <c r="BX19" s="759">
        <f>IF($AN19="Ya",100%,100%+extraDelayZ)</f>
        <v>1</v>
      </c>
      <c r="BY19" s="760">
        <f t="shared" si="28"/>
        <v>1</v>
      </c>
      <c r="BZ19" s="761">
        <f t="shared" si="29"/>
        <v>1</v>
      </c>
      <c r="CA19" s="761">
        <f t="shared" si="30"/>
        <v>1</v>
      </c>
      <c r="CB19" s="761">
        <f t="shared" si="31"/>
        <v>1</v>
      </c>
      <c r="CC19" s="761">
        <f t="shared" si="32"/>
        <v>1</v>
      </c>
      <c r="CD19" s="761">
        <f t="shared" si="33"/>
        <v>1</v>
      </c>
      <c r="CE19" s="761">
        <f t="shared" si="34"/>
        <v>1</v>
      </c>
      <c r="CF19" s="761">
        <f t="shared" si="35"/>
        <v>1</v>
      </c>
      <c r="CG19" s="761">
        <f t="shared" si="36"/>
        <v>1</v>
      </c>
      <c r="CH19" s="761">
        <f t="shared" si="37"/>
        <v>1</v>
      </c>
      <c r="CI19" s="761">
        <f t="shared" si="38"/>
        <v>1</v>
      </c>
      <c r="CJ19" s="762">
        <f t="shared" si="39"/>
        <v>1</v>
      </c>
      <c r="CK19" s="763">
        <f t="array" ref="CK19">IF(ISERROR(SUM($K19:$V19*$BY19:$CJ19)/SUM($K19:$V19)),1,SUM($K19:$V19*$BY19:$CJ19)/SUM($K19:$V19))-1</f>
        <v>0</v>
      </c>
      <c r="CL19" s="726"/>
    </row>
    <row r="20" spans="1:90" s="727" customFormat="1" ht="12.75" hidden="1" outlineLevel="1" x14ac:dyDescent="0.2">
      <c r="A20" s="728"/>
      <c r="B20" s="729" t="str">
        <f t="shared" ca="1" si="7"/>
        <v>Новости, Пакет "Федеральный 3500К", 240x400</v>
      </c>
      <c r="C20" s="730" t="str">
        <f t="shared" ca="1" si="26"/>
        <v>Пакет</v>
      </c>
      <c r="D20" s="731">
        <f t="shared" ca="1" si="8"/>
        <v>160</v>
      </c>
      <c r="E20" s="731">
        <f t="shared" ca="1" si="9"/>
        <v>160</v>
      </c>
      <c r="F20" s="731">
        <f t="shared" ca="1" si="10"/>
        <v>160</v>
      </c>
      <c r="G20" s="732">
        <f t="shared" ca="1" si="11"/>
        <v>560000</v>
      </c>
      <c r="H20" s="732">
        <f t="shared" ca="1" si="12"/>
        <v>560000</v>
      </c>
      <c r="I20" s="732">
        <f t="shared" ca="1" si="13"/>
        <v>0</v>
      </c>
      <c r="J20" s="733">
        <f t="shared" ca="1" si="40"/>
        <v>0</v>
      </c>
      <c r="K20" s="734"/>
      <c r="L20" s="735"/>
      <c r="M20" s="735"/>
      <c r="N20" s="735"/>
      <c r="O20" s="735"/>
      <c r="P20" s="735"/>
      <c r="Q20" s="735"/>
      <c r="R20" s="735"/>
      <c r="S20" s="735"/>
      <c r="T20" s="735"/>
      <c r="U20" s="735"/>
      <c r="V20" s="736"/>
      <c r="W20" s="732">
        <f t="shared" ca="1" si="1"/>
        <v>0</v>
      </c>
      <c r="X20" s="732"/>
      <c r="Y20" s="737"/>
      <c r="Z20" s="738">
        <f t="shared" ref="Z20" si="54">CK20</f>
        <v>0</v>
      </c>
      <c r="AA20" s="739"/>
      <c r="AB20" s="739"/>
      <c r="AC20" s="739"/>
      <c r="AD20" s="739"/>
      <c r="AE20" s="739"/>
      <c r="AF20" s="739"/>
      <c r="AG20" s="739"/>
      <c r="AH20" s="739"/>
      <c r="AI20" s="739"/>
      <c r="AJ20" s="739"/>
      <c r="AK20" s="739"/>
      <c r="AL20" s="739"/>
      <c r="AM20" s="740"/>
      <c r="AN20" s="741" t="s">
        <v>124</v>
      </c>
      <c r="AO20" s="741" t="str">
        <f t="shared" si="2"/>
        <v>Yandex.ru</v>
      </c>
      <c r="AP20" s="742">
        <f t="shared" si="3"/>
        <v>40</v>
      </c>
      <c r="AQ20" s="743" t="str">
        <f t="shared" ca="1" si="14"/>
        <v>Вкл.</v>
      </c>
      <c r="AR20" s="743" t="str">
        <f t="shared" ca="1" si="14"/>
        <v>-</v>
      </c>
      <c r="AS20" s="744">
        <v>0</v>
      </c>
      <c r="AT20" s="745">
        <v>0</v>
      </c>
      <c r="AU20" s="746">
        <f t="shared" ca="1" si="15"/>
        <v>160</v>
      </c>
      <c r="AV20" s="747">
        <f t="shared" ca="1" si="16"/>
        <v>160</v>
      </c>
      <c r="AW20" s="748">
        <f t="shared" ca="1" si="17"/>
        <v>160</v>
      </c>
      <c r="AX20" s="749"/>
      <c r="AY20" s="749"/>
      <c r="AZ20" s="750">
        <f t="shared" ca="1" si="18"/>
        <v>560000</v>
      </c>
      <c r="BA20" s="751">
        <f t="shared" ca="1" si="19"/>
        <v>560000</v>
      </c>
      <c r="BB20" s="750">
        <f t="shared" ca="1" si="20"/>
        <v>3500</v>
      </c>
      <c r="BC20" s="752" t="str">
        <f t="shared" ca="1" si="20"/>
        <v>Пакет</v>
      </c>
      <c r="BD20" s="745" t="str">
        <f t="shared" ca="1" si="21"/>
        <v>Пакет</v>
      </c>
      <c r="BE20" s="753">
        <f t="shared" ca="1" si="4"/>
        <v>0</v>
      </c>
      <c r="BF20" s="750">
        <f t="array" aca="1" ref="BF20" ca="1">SUM($K20:$V20*$BK20:$BV20)*$AZ20</f>
        <v>0</v>
      </c>
      <c r="BG20" s="750">
        <f t="array" aca="1" ref="BG20" ca="1">SUM($K20:$V20*$BY20:$CJ20*$BK20:$BV20)*$AZ20*$BX20</f>
        <v>0</v>
      </c>
      <c r="BH20" s="750">
        <f t="array" aca="1" ref="BH20" ca="1">SUM($K20:$V20*$BY20:$CJ20*$BK20:$BV20)*(1-$BE20)*$AZ20*$BX20</f>
        <v>0</v>
      </c>
      <c r="BI20" s="754">
        <f t="shared" ca="1" si="22"/>
        <v>0</v>
      </c>
      <c r="BJ20" s="755" t="str">
        <f t="shared" ca="1" si="23"/>
        <v>Да</v>
      </c>
      <c r="BK20" s="756">
        <f t="shared" ca="1" si="24"/>
        <v>0.6</v>
      </c>
      <c r="BL20" s="757">
        <f t="shared" ca="1" si="24"/>
        <v>0.7</v>
      </c>
      <c r="BM20" s="757">
        <f t="shared" ca="1" si="24"/>
        <v>1</v>
      </c>
      <c r="BN20" s="757">
        <f t="shared" ca="1" si="24"/>
        <v>1</v>
      </c>
      <c r="BO20" s="757">
        <f t="shared" ca="1" si="24"/>
        <v>1</v>
      </c>
      <c r="BP20" s="757">
        <f t="shared" ca="1" si="24"/>
        <v>1</v>
      </c>
      <c r="BQ20" s="757">
        <f t="shared" ca="1" si="24"/>
        <v>1</v>
      </c>
      <c r="BR20" s="757">
        <f t="shared" ca="1" si="24"/>
        <v>1</v>
      </c>
      <c r="BS20" s="757">
        <f t="shared" ca="1" si="24"/>
        <v>1.4</v>
      </c>
      <c r="BT20" s="757">
        <f t="shared" ca="1" si="24"/>
        <v>1.4</v>
      </c>
      <c r="BU20" s="757">
        <f t="shared" ca="1" si="24"/>
        <v>1.4</v>
      </c>
      <c r="BV20" s="758">
        <f t="shared" ca="1" si="24"/>
        <v>1.4</v>
      </c>
      <c r="BW20" s="749">
        <f t="shared" si="6"/>
        <v>10</v>
      </c>
      <c r="BX20" s="759">
        <f>IF($AN20="Ya",100%,100%+extraDelayZ)</f>
        <v>1</v>
      </c>
      <c r="BY20" s="760">
        <f t="shared" ref="BY20" si="55">(1+AA20)</f>
        <v>1</v>
      </c>
      <c r="BZ20" s="761">
        <f t="shared" ref="BZ20" si="56">(1+AB20)</f>
        <v>1</v>
      </c>
      <c r="CA20" s="761">
        <f t="shared" ref="CA20" si="57">(1+AC20)</f>
        <v>1</v>
      </c>
      <c r="CB20" s="761">
        <f t="shared" ref="CB20" si="58">(1+AD20)</f>
        <v>1</v>
      </c>
      <c r="CC20" s="761">
        <f t="shared" ref="CC20" si="59">(1+AE20)</f>
        <v>1</v>
      </c>
      <c r="CD20" s="761">
        <f t="shared" ref="CD20" si="60">(1+AF20)</f>
        <v>1</v>
      </c>
      <c r="CE20" s="761">
        <f t="shared" ref="CE20" si="61">(1+AG20)</f>
        <v>1</v>
      </c>
      <c r="CF20" s="761">
        <f t="shared" ref="CF20" si="62">(1+AH20)</f>
        <v>1</v>
      </c>
      <c r="CG20" s="761">
        <f t="shared" ref="CG20" si="63">(1+AI20)</f>
        <v>1</v>
      </c>
      <c r="CH20" s="761">
        <f t="shared" ref="CH20" si="64">(1+AJ20)</f>
        <v>1</v>
      </c>
      <c r="CI20" s="761">
        <f t="shared" ref="CI20" si="65">(1+AK20)</f>
        <v>1</v>
      </c>
      <c r="CJ20" s="762">
        <f t="shared" ref="CJ20" si="66">(1+AL20)</f>
        <v>1</v>
      </c>
      <c r="CK20" s="763">
        <f t="array" ref="CK20">IF(ISERROR(SUM($K20:$V20*$BY20:$CJ20)/SUM($K20:$V20)),1,SUM($K20:$V20*$BY20:$CJ20)/SUM($K20:$V20))-1</f>
        <v>0</v>
      </c>
      <c r="CL20" s="726"/>
    </row>
    <row r="21" spans="1:90" s="727" customFormat="1" ht="12.75" hidden="1" outlineLevel="1" x14ac:dyDescent="0.2">
      <c r="A21" s="728"/>
      <c r="B21" s="729" t="str">
        <f t="shared" ca="1" si="7"/>
        <v>Новости, Пакет "Москва", 240х400</v>
      </c>
      <c r="C21" s="730" t="str">
        <f t="shared" ca="1" si="26"/>
        <v>Пакет</v>
      </c>
      <c r="D21" s="731">
        <f t="shared" ca="1" si="8"/>
        <v>250</v>
      </c>
      <c r="E21" s="731">
        <f t="shared" ca="1" si="9"/>
        <v>250</v>
      </c>
      <c r="F21" s="731">
        <f t="shared" ca="1" si="10"/>
        <v>250</v>
      </c>
      <c r="G21" s="732">
        <f t="shared" ca="1" si="11"/>
        <v>425000</v>
      </c>
      <c r="H21" s="732">
        <f t="shared" ca="1" si="12"/>
        <v>425000</v>
      </c>
      <c r="I21" s="732">
        <f t="shared" ca="1" si="13"/>
        <v>0</v>
      </c>
      <c r="J21" s="733">
        <f t="shared" ca="1" si="40"/>
        <v>0</v>
      </c>
      <c r="K21" s="734"/>
      <c r="L21" s="735"/>
      <c r="M21" s="735"/>
      <c r="N21" s="735"/>
      <c r="O21" s="735"/>
      <c r="P21" s="735"/>
      <c r="Q21" s="735"/>
      <c r="R21" s="735"/>
      <c r="S21" s="735"/>
      <c r="T21" s="735"/>
      <c r="U21" s="735"/>
      <c r="V21" s="736"/>
      <c r="W21" s="732">
        <f t="shared" ca="1" si="1"/>
        <v>0</v>
      </c>
      <c r="X21" s="732"/>
      <c r="Y21" s="737"/>
      <c r="Z21" s="738">
        <f t="shared" ref="Z21" si="67">CK21</f>
        <v>0</v>
      </c>
      <c r="AA21" s="739"/>
      <c r="AB21" s="739"/>
      <c r="AC21" s="739"/>
      <c r="AD21" s="739"/>
      <c r="AE21" s="739"/>
      <c r="AF21" s="739"/>
      <c r="AG21" s="739"/>
      <c r="AH21" s="739"/>
      <c r="AI21" s="739"/>
      <c r="AJ21" s="739"/>
      <c r="AK21" s="739"/>
      <c r="AL21" s="739"/>
      <c r="AM21" s="740"/>
      <c r="AN21" s="741" t="s">
        <v>124</v>
      </c>
      <c r="AO21" s="741" t="str">
        <f t="shared" si="2"/>
        <v>Yandex.ru</v>
      </c>
      <c r="AP21" s="742">
        <f t="shared" si="3"/>
        <v>40</v>
      </c>
      <c r="AQ21" s="743" t="str">
        <f t="shared" ca="1" si="14"/>
        <v>Вкл.</v>
      </c>
      <c r="AR21" s="743" t="str">
        <f t="shared" ca="1" si="14"/>
        <v>-</v>
      </c>
      <c r="AS21" s="744">
        <v>0</v>
      </c>
      <c r="AT21" s="745">
        <v>0</v>
      </c>
      <c r="AU21" s="746">
        <f t="shared" ca="1" si="15"/>
        <v>250</v>
      </c>
      <c r="AV21" s="747">
        <f t="shared" ca="1" si="16"/>
        <v>250</v>
      </c>
      <c r="AW21" s="748">
        <f t="shared" ca="1" si="17"/>
        <v>250</v>
      </c>
      <c r="AX21" s="749"/>
      <c r="AY21" s="749"/>
      <c r="AZ21" s="750">
        <f t="shared" ca="1" si="18"/>
        <v>425000</v>
      </c>
      <c r="BA21" s="751">
        <f t="shared" ca="1" si="19"/>
        <v>425000</v>
      </c>
      <c r="BB21" s="750">
        <f t="shared" ca="1" si="20"/>
        <v>1700</v>
      </c>
      <c r="BC21" s="752" t="str">
        <f t="shared" ca="1" si="20"/>
        <v>Пакет</v>
      </c>
      <c r="BD21" s="745" t="str">
        <f t="shared" ca="1" si="21"/>
        <v>Пакет</v>
      </c>
      <c r="BE21" s="753">
        <f t="shared" ca="1" si="4"/>
        <v>0</v>
      </c>
      <c r="BF21" s="750">
        <f t="array" aca="1" ref="BF21" ca="1">SUM($K21:$V21*$BK21:$BV21)*$AZ21</f>
        <v>0</v>
      </c>
      <c r="BG21" s="750">
        <f t="array" aca="1" ref="BG21" ca="1">SUM($K21:$V21*$BY21:$CJ21*$BK21:$BV21)*$AZ21*$BX21</f>
        <v>0</v>
      </c>
      <c r="BH21" s="750">
        <f t="array" aca="1" ref="BH21" ca="1">SUM($K21:$V21*$BY21:$CJ21*$BK21:$BV21)*(1-$BE21)*$AZ21*$BX21</f>
        <v>0</v>
      </c>
      <c r="BI21" s="754">
        <f t="shared" ca="1" si="22"/>
        <v>0</v>
      </c>
      <c r="BJ21" s="755" t="str">
        <f t="shared" ca="1" si="23"/>
        <v>Да</v>
      </c>
      <c r="BK21" s="756">
        <f t="shared" ca="1" si="24"/>
        <v>0.6</v>
      </c>
      <c r="BL21" s="757">
        <f t="shared" ca="1" si="24"/>
        <v>0.7</v>
      </c>
      <c r="BM21" s="757">
        <f t="shared" ca="1" si="24"/>
        <v>1</v>
      </c>
      <c r="BN21" s="757">
        <f t="shared" ca="1" si="24"/>
        <v>1</v>
      </c>
      <c r="BO21" s="757">
        <f t="shared" ca="1" si="24"/>
        <v>1</v>
      </c>
      <c r="BP21" s="757">
        <f t="shared" ca="1" si="24"/>
        <v>1</v>
      </c>
      <c r="BQ21" s="757">
        <f t="shared" ca="1" si="24"/>
        <v>1</v>
      </c>
      <c r="BR21" s="757">
        <f t="shared" ca="1" si="24"/>
        <v>1</v>
      </c>
      <c r="BS21" s="757">
        <f t="shared" ca="1" si="24"/>
        <v>1.4</v>
      </c>
      <c r="BT21" s="757">
        <f t="shared" ca="1" si="24"/>
        <v>1.4</v>
      </c>
      <c r="BU21" s="757">
        <f t="shared" ca="1" si="24"/>
        <v>1.4</v>
      </c>
      <c r="BV21" s="758">
        <f t="shared" ca="1" si="24"/>
        <v>1.4</v>
      </c>
      <c r="BW21" s="749">
        <f t="shared" si="6"/>
        <v>11</v>
      </c>
      <c r="BX21" s="759">
        <f>IF($AN21="Ya",100%,100%+extraDelayZ)</f>
        <v>1</v>
      </c>
      <c r="BY21" s="760">
        <f t="shared" ref="BY21" si="68">(1+AA21)</f>
        <v>1</v>
      </c>
      <c r="BZ21" s="761">
        <f t="shared" ref="BZ21" si="69">(1+AB21)</f>
        <v>1</v>
      </c>
      <c r="CA21" s="761">
        <f t="shared" ref="CA21" si="70">(1+AC21)</f>
        <v>1</v>
      </c>
      <c r="CB21" s="761">
        <f t="shared" ref="CB21" si="71">(1+AD21)</f>
        <v>1</v>
      </c>
      <c r="CC21" s="761">
        <f t="shared" ref="CC21" si="72">(1+AE21)</f>
        <v>1</v>
      </c>
      <c r="CD21" s="761">
        <f t="shared" ref="CD21" si="73">(1+AF21)</f>
        <v>1</v>
      </c>
      <c r="CE21" s="761">
        <f t="shared" ref="CE21" si="74">(1+AG21)</f>
        <v>1</v>
      </c>
      <c r="CF21" s="761">
        <f t="shared" ref="CF21" si="75">(1+AH21)</f>
        <v>1</v>
      </c>
      <c r="CG21" s="761">
        <f t="shared" ref="CG21" si="76">(1+AI21)</f>
        <v>1</v>
      </c>
      <c r="CH21" s="761">
        <f t="shared" ref="CH21" si="77">(1+AJ21)</f>
        <v>1</v>
      </c>
      <c r="CI21" s="761">
        <f t="shared" ref="CI21" si="78">(1+AK21)</f>
        <v>1</v>
      </c>
      <c r="CJ21" s="762">
        <f t="shared" ref="CJ21" si="79">(1+AL21)</f>
        <v>1</v>
      </c>
      <c r="CK21" s="763">
        <f t="array" ref="CK21">IF(ISERROR(SUM($K21:$V21*$BY21:$CJ21)/SUM($K21:$V21)),1,SUM($K21:$V21*$BY21:$CJ21)/SUM($K21:$V21))-1</f>
        <v>0</v>
      </c>
      <c r="CL21" s="726"/>
    </row>
    <row r="22" spans="1:90" s="727" customFormat="1" ht="12.75" hidden="1" outlineLevel="1" x14ac:dyDescent="0.2">
      <c r="A22" s="728"/>
      <c r="B22" s="729" t="str">
        <f t="shared" ca="1" si="7"/>
        <v>Новости, Все страницы, Таргетинг на Россию, 240х400</v>
      </c>
      <c r="C22" s="730" t="str">
        <f t="shared" ca="1" si="26"/>
        <v>х1000</v>
      </c>
      <c r="D22" s="731">
        <f t="shared" ca="1" si="8"/>
        <v>200</v>
      </c>
      <c r="E22" s="731">
        <f t="shared" ca="1" si="9"/>
        <v>200</v>
      </c>
      <c r="F22" s="731">
        <f t="shared" ca="1" si="10"/>
        <v>200</v>
      </c>
      <c r="G22" s="732">
        <f t="shared" ca="1" si="11"/>
        <v>200</v>
      </c>
      <c r="H22" s="732">
        <f t="shared" ca="1" si="12"/>
        <v>200</v>
      </c>
      <c r="I22" s="732">
        <f t="shared" ca="1" si="13"/>
        <v>0</v>
      </c>
      <c r="J22" s="733">
        <f t="shared" ca="1" si="40"/>
        <v>0</v>
      </c>
      <c r="K22" s="734"/>
      <c r="L22" s="735"/>
      <c r="M22" s="735"/>
      <c r="N22" s="735"/>
      <c r="O22" s="735"/>
      <c r="P22" s="735"/>
      <c r="Q22" s="735"/>
      <c r="R22" s="735"/>
      <c r="S22" s="735"/>
      <c r="T22" s="735"/>
      <c r="U22" s="735"/>
      <c r="V22" s="736"/>
      <c r="W22" s="732">
        <f t="shared" ca="1" si="1"/>
        <v>0</v>
      </c>
      <c r="X22" s="732"/>
      <c r="Y22" s="737"/>
      <c r="Z22" s="738">
        <f t="shared" ref="Z22" si="80">CK22</f>
        <v>0</v>
      </c>
      <c r="AA22" s="739"/>
      <c r="AB22" s="739"/>
      <c r="AC22" s="739"/>
      <c r="AD22" s="739"/>
      <c r="AE22" s="739"/>
      <c r="AF22" s="739"/>
      <c r="AG22" s="739"/>
      <c r="AH22" s="739"/>
      <c r="AI22" s="739"/>
      <c r="AJ22" s="739"/>
      <c r="AK22" s="739"/>
      <c r="AL22" s="739"/>
      <c r="AM22" s="740"/>
      <c r="AN22" s="741" t="s">
        <v>124</v>
      </c>
      <c r="AO22" s="741" t="str">
        <f t="shared" si="2"/>
        <v>Yandex.ru</v>
      </c>
      <c r="AP22" s="742">
        <f t="shared" si="3"/>
        <v>40</v>
      </c>
      <c r="AQ22" s="743" t="str">
        <f t="shared" ca="1" si="14"/>
        <v>Вкл.</v>
      </c>
      <c r="AR22" s="743" t="str">
        <f t="shared" ca="1" si="14"/>
        <v>Вкл.</v>
      </c>
      <c r="AS22" s="744">
        <v>0</v>
      </c>
      <c r="AT22" s="745">
        <v>0</v>
      </c>
      <c r="AU22" s="746">
        <f t="shared" ca="1" si="15"/>
        <v>200</v>
      </c>
      <c r="AV22" s="747">
        <f t="shared" ca="1" si="16"/>
        <v>200</v>
      </c>
      <c r="AW22" s="748">
        <f t="shared" ca="1" si="17"/>
        <v>200</v>
      </c>
      <c r="AX22" s="749"/>
      <c r="AY22" s="749"/>
      <c r="AZ22" s="750">
        <f t="shared" ca="1" si="18"/>
        <v>200</v>
      </c>
      <c r="BA22" s="751">
        <f t="shared" ca="1" si="19"/>
        <v>200</v>
      </c>
      <c r="BB22" s="750">
        <f t="shared" ca="1" si="20"/>
        <v>1</v>
      </c>
      <c r="BC22" s="752" t="str">
        <f t="shared" ca="1" si="20"/>
        <v>1000 контактов</v>
      </c>
      <c r="BD22" s="745" t="str">
        <f t="shared" ca="1" si="21"/>
        <v>х1000</v>
      </c>
      <c r="BE22" s="753">
        <f t="shared" ca="1" si="4"/>
        <v>0</v>
      </c>
      <c r="BF22" s="750">
        <f t="array" aca="1" ref="BF22" ca="1">SUM($K22:$V22*$BK22:$BV22)*$AZ22</f>
        <v>0</v>
      </c>
      <c r="BG22" s="750">
        <f t="array" aca="1" ref="BG22" ca="1">SUM($K22:$V22*$BY22:$CJ22*$BK22:$BV22)*$AZ22*$BX22</f>
        <v>0</v>
      </c>
      <c r="BH22" s="750">
        <f t="array" aca="1" ref="BH22" ca="1">SUM($K22:$V22*$BY22:$CJ22*$BK22:$BV22)*(1-$BE22)*$AZ22*$BX22</f>
        <v>0</v>
      </c>
      <c r="BI22" s="754">
        <f t="shared" ca="1" si="22"/>
        <v>0</v>
      </c>
      <c r="BJ22" s="755" t="str">
        <f t="shared" ca="1" si="23"/>
        <v>Да</v>
      </c>
      <c r="BK22" s="756">
        <f t="shared" ca="1" si="24"/>
        <v>0.6</v>
      </c>
      <c r="BL22" s="757">
        <f t="shared" ca="1" si="24"/>
        <v>0.7</v>
      </c>
      <c r="BM22" s="757">
        <f t="shared" ca="1" si="24"/>
        <v>1</v>
      </c>
      <c r="BN22" s="757">
        <f t="shared" ca="1" si="24"/>
        <v>1</v>
      </c>
      <c r="BO22" s="757">
        <f t="shared" ca="1" si="24"/>
        <v>1</v>
      </c>
      <c r="BP22" s="757">
        <f t="shared" ca="1" si="24"/>
        <v>1</v>
      </c>
      <c r="BQ22" s="757">
        <f t="shared" ca="1" si="24"/>
        <v>1</v>
      </c>
      <c r="BR22" s="757">
        <f t="shared" ca="1" si="24"/>
        <v>1</v>
      </c>
      <c r="BS22" s="757">
        <f t="shared" ca="1" si="24"/>
        <v>1.4</v>
      </c>
      <c r="BT22" s="757">
        <f t="shared" ca="1" si="24"/>
        <v>1.4</v>
      </c>
      <c r="BU22" s="757">
        <f t="shared" ca="1" si="24"/>
        <v>1.4</v>
      </c>
      <c r="BV22" s="758">
        <f t="shared" ca="1" si="24"/>
        <v>1.4</v>
      </c>
      <c r="BW22" s="749">
        <f t="shared" si="6"/>
        <v>12</v>
      </c>
      <c r="BX22" s="759">
        <f>IF($AN22="Ya",100%,100%+extraDelayZ)</f>
        <v>1</v>
      </c>
      <c r="BY22" s="760">
        <f t="shared" ref="BY22" si="81">(1+AA22)</f>
        <v>1</v>
      </c>
      <c r="BZ22" s="761">
        <f t="shared" ref="BZ22" si="82">(1+AB22)</f>
        <v>1</v>
      </c>
      <c r="CA22" s="761">
        <f t="shared" ref="CA22" si="83">(1+AC22)</f>
        <v>1</v>
      </c>
      <c r="CB22" s="761">
        <f t="shared" ref="CB22" si="84">(1+AD22)</f>
        <v>1</v>
      </c>
      <c r="CC22" s="761">
        <f t="shared" ref="CC22" si="85">(1+AE22)</f>
        <v>1</v>
      </c>
      <c r="CD22" s="761">
        <f t="shared" ref="CD22" si="86">(1+AF22)</f>
        <v>1</v>
      </c>
      <c r="CE22" s="761">
        <f t="shared" ref="CE22" si="87">(1+AG22)</f>
        <v>1</v>
      </c>
      <c r="CF22" s="761">
        <f t="shared" ref="CF22" si="88">(1+AH22)</f>
        <v>1</v>
      </c>
      <c r="CG22" s="761">
        <f t="shared" ref="CG22" si="89">(1+AI22)</f>
        <v>1</v>
      </c>
      <c r="CH22" s="761">
        <f t="shared" ref="CH22" si="90">(1+AJ22)</f>
        <v>1</v>
      </c>
      <c r="CI22" s="761">
        <f t="shared" ref="CI22" si="91">(1+AK22)</f>
        <v>1</v>
      </c>
      <c r="CJ22" s="762">
        <f t="shared" ref="CJ22" si="92">(1+AL22)</f>
        <v>1</v>
      </c>
      <c r="CK22" s="763">
        <f t="array" ref="CK22">IF(ISERROR(SUM($K22:$V22*$BY22:$CJ22)/SUM($K22:$V22)),1,SUM($K22:$V22*$BY22:$CJ22)/SUM($K22:$V22))-1</f>
        <v>0</v>
      </c>
      <c r="CL22" s="726"/>
    </row>
    <row r="23" spans="1:90" s="727" customFormat="1" ht="12.75" hidden="1" outlineLevel="1" x14ac:dyDescent="0.2">
      <c r="A23" s="728"/>
      <c r="B23" s="729" t="str">
        <f t="shared" ca="1" si="7"/>
        <v>Новости, Все страницы, Таргетинг на Санкт-Петербург, 240х400</v>
      </c>
      <c r="C23" s="730" t="str">
        <f t="shared" ca="1" si="26"/>
        <v>х1000</v>
      </c>
      <c r="D23" s="731">
        <f t="shared" ca="1" si="8"/>
        <v>200</v>
      </c>
      <c r="E23" s="731">
        <f t="shared" ca="1" si="9"/>
        <v>200</v>
      </c>
      <c r="F23" s="731">
        <f t="shared" ca="1" si="10"/>
        <v>200</v>
      </c>
      <c r="G23" s="732">
        <f t="shared" ca="1" si="11"/>
        <v>200</v>
      </c>
      <c r="H23" s="732">
        <f t="shared" ca="1" si="12"/>
        <v>200</v>
      </c>
      <c r="I23" s="732">
        <f t="shared" ca="1" si="13"/>
        <v>0</v>
      </c>
      <c r="J23" s="733">
        <f t="shared" ca="1" si="40"/>
        <v>0</v>
      </c>
      <c r="K23" s="734"/>
      <c r="L23" s="735"/>
      <c r="M23" s="735"/>
      <c r="N23" s="735"/>
      <c r="O23" s="735"/>
      <c r="P23" s="735"/>
      <c r="Q23" s="735"/>
      <c r="R23" s="735"/>
      <c r="S23" s="735"/>
      <c r="T23" s="735"/>
      <c r="U23" s="735"/>
      <c r="V23" s="736"/>
      <c r="W23" s="732">
        <f t="shared" ca="1" si="1"/>
        <v>0</v>
      </c>
      <c r="X23" s="732"/>
      <c r="Y23" s="737"/>
      <c r="Z23" s="738">
        <f t="shared" ref="Z23" si="93">CK23</f>
        <v>0</v>
      </c>
      <c r="AA23" s="739"/>
      <c r="AB23" s="739"/>
      <c r="AC23" s="739"/>
      <c r="AD23" s="739"/>
      <c r="AE23" s="739"/>
      <c r="AF23" s="739"/>
      <c r="AG23" s="739"/>
      <c r="AH23" s="739"/>
      <c r="AI23" s="739"/>
      <c r="AJ23" s="739"/>
      <c r="AK23" s="739"/>
      <c r="AL23" s="739"/>
      <c r="AM23" s="740"/>
      <c r="AN23" s="741" t="s">
        <v>124</v>
      </c>
      <c r="AO23" s="741" t="str">
        <f t="shared" si="2"/>
        <v>Yandex.ru</v>
      </c>
      <c r="AP23" s="742">
        <f t="shared" si="3"/>
        <v>40</v>
      </c>
      <c r="AQ23" s="743" t="str">
        <f t="shared" ca="1" si="14"/>
        <v>Вкл.</v>
      </c>
      <c r="AR23" s="743" t="str">
        <f t="shared" ca="1" si="14"/>
        <v>Вкл.</v>
      </c>
      <c r="AS23" s="744">
        <v>0</v>
      </c>
      <c r="AT23" s="745">
        <v>0</v>
      </c>
      <c r="AU23" s="746">
        <f t="shared" ca="1" si="15"/>
        <v>200</v>
      </c>
      <c r="AV23" s="747">
        <f t="shared" ca="1" si="16"/>
        <v>200</v>
      </c>
      <c r="AW23" s="748">
        <f t="shared" ca="1" si="17"/>
        <v>200</v>
      </c>
      <c r="AX23" s="749"/>
      <c r="AY23" s="749"/>
      <c r="AZ23" s="750">
        <f t="shared" ca="1" si="18"/>
        <v>200</v>
      </c>
      <c r="BA23" s="751">
        <f t="shared" ca="1" si="19"/>
        <v>200</v>
      </c>
      <c r="BB23" s="750">
        <f t="shared" ca="1" si="20"/>
        <v>1</v>
      </c>
      <c r="BC23" s="752" t="str">
        <f t="shared" ca="1" si="20"/>
        <v>1000 контактов</v>
      </c>
      <c r="BD23" s="745" t="str">
        <f t="shared" ca="1" si="21"/>
        <v>х1000</v>
      </c>
      <c r="BE23" s="753">
        <f t="shared" ca="1" si="4"/>
        <v>0</v>
      </c>
      <c r="BF23" s="750">
        <f t="array" aca="1" ref="BF23" ca="1">SUM($K23:$V23*$BK23:$BV23)*$AZ23</f>
        <v>0</v>
      </c>
      <c r="BG23" s="750">
        <f t="array" aca="1" ref="BG23" ca="1">SUM($K23:$V23*$BY23:$CJ23*$BK23:$BV23)*$AZ23*$BX23</f>
        <v>0</v>
      </c>
      <c r="BH23" s="750">
        <f t="array" aca="1" ref="BH23" ca="1">SUM($K23:$V23*$BY23:$CJ23*$BK23:$BV23)*(1-$BE23)*$AZ23*$BX23</f>
        <v>0</v>
      </c>
      <c r="BI23" s="754">
        <f t="shared" ca="1" si="22"/>
        <v>0</v>
      </c>
      <c r="BJ23" s="755" t="str">
        <f t="shared" ca="1" si="23"/>
        <v>Да</v>
      </c>
      <c r="BK23" s="756">
        <f t="shared" ca="1" si="24"/>
        <v>0.6</v>
      </c>
      <c r="BL23" s="757">
        <f t="shared" ca="1" si="24"/>
        <v>0.7</v>
      </c>
      <c r="BM23" s="757">
        <f t="shared" ca="1" si="24"/>
        <v>1</v>
      </c>
      <c r="BN23" s="757">
        <f t="shared" ca="1" si="24"/>
        <v>1</v>
      </c>
      <c r="BO23" s="757">
        <f t="shared" ca="1" si="24"/>
        <v>1</v>
      </c>
      <c r="BP23" s="757">
        <f t="shared" ca="1" si="24"/>
        <v>1</v>
      </c>
      <c r="BQ23" s="757">
        <f t="shared" ca="1" si="24"/>
        <v>1</v>
      </c>
      <c r="BR23" s="757">
        <f t="shared" ca="1" si="24"/>
        <v>1</v>
      </c>
      <c r="BS23" s="757">
        <f t="shared" ca="1" si="24"/>
        <v>1.4</v>
      </c>
      <c r="BT23" s="757">
        <f t="shared" ca="1" si="24"/>
        <v>1.4</v>
      </c>
      <c r="BU23" s="757">
        <f t="shared" ca="1" si="24"/>
        <v>1.4</v>
      </c>
      <c r="BV23" s="758">
        <f t="shared" ca="1" si="24"/>
        <v>1.4</v>
      </c>
      <c r="BW23" s="749">
        <f t="shared" si="6"/>
        <v>13</v>
      </c>
      <c r="BX23" s="759">
        <f>IF($AN23="Ya",100%,100%+extraDelayZ)</f>
        <v>1</v>
      </c>
      <c r="BY23" s="760">
        <f t="shared" ref="BY23" si="94">(1+AA23)</f>
        <v>1</v>
      </c>
      <c r="BZ23" s="761">
        <f t="shared" ref="BZ23" si="95">(1+AB23)</f>
        <v>1</v>
      </c>
      <c r="CA23" s="761">
        <f t="shared" ref="CA23" si="96">(1+AC23)</f>
        <v>1</v>
      </c>
      <c r="CB23" s="761">
        <f t="shared" ref="CB23" si="97">(1+AD23)</f>
        <v>1</v>
      </c>
      <c r="CC23" s="761">
        <f t="shared" ref="CC23" si="98">(1+AE23)</f>
        <v>1</v>
      </c>
      <c r="CD23" s="761">
        <f t="shared" ref="CD23" si="99">(1+AF23)</f>
        <v>1</v>
      </c>
      <c r="CE23" s="761">
        <f t="shared" ref="CE23" si="100">(1+AG23)</f>
        <v>1</v>
      </c>
      <c r="CF23" s="761">
        <f t="shared" ref="CF23" si="101">(1+AH23)</f>
        <v>1</v>
      </c>
      <c r="CG23" s="761">
        <f t="shared" ref="CG23" si="102">(1+AI23)</f>
        <v>1</v>
      </c>
      <c r="CH23" s="761">
        <f t="shared" ref="CH23" si="103">(1+AJ23)</f>
        <v>1</v>
      </c>
      <c r="CI23" s="761">
        <f t="shared" ref="CI23" si="104">(1+AK23)</f>
        <v>1</v>
      </c>
      <c r="CJ23" s="762">
        <f t="shared" ref="CJ23" si="105">(1+AL23)</f>
        <v>1</v>
      </c>
      <c r="CK23" s="763">
        <f t="array" ref="CK23">IF(ISERROR(SUM($K23:$V23*$BY23:$CJ23)/SUM($K23:$V23)),1,SUM($K23:$V23*$BY23:$CJ23)/SUM($K23:$V23))-1</f>
        <v>0</v>
      </c>
      <c r="CL23" s="726"/>
    </row>
    <row r="24" spans="1:90" s="727" customFormat="1" ht="12.75" hidden="1" outlineLevel="1" x14ac:dyDescent="0.2">
      <c r="A24" s="728"/>
      <c r="B24" s="729" t="str">
        <f t="shared" ca="1" si="7"/>
        <v>Новости, Все страницы, Таргетинг на регионы России (кроме Москвы и Санкт-Петербурга), 240х400</v>
      </c>
      <c r="C24" s="730" t="str">
        <f t="shared" ca="1" si="26"/>
        <v>х1000</v>
      </c>
      <c r="D24" s="731">
        <f t="shared" ca="1" si="8"/>
        <v>180</v>
      </c>
      <c r="E24" s="731">
        <f t="shared" ca="1" si="9"/>
        <v>180</v>
      </c>
      <c r="F24" s="731">
        <f t="shared" ca="1" si="10"/>
        <v>180</v>
      </c>
      <c r="G24" s="732">
        <f t="shared" ca="1" si="11"/>
        <v>180</v>
      </c>
      <c r="H24" s="732">
        <f t="shared" ca="1" si="12"/>
        <v>180</v>
      </c>
      <c r="I24" s="732">
        <f t="shared" ca="1" si="13"/>
        <v>0</v>
      </c>
      <c r="J24" s="733">
        <f t="shared" ca="1" si="40"/>
        <v>0</v>
      </c>
      <c r="K24" s="734"/>
      <c r="L24" s="735"/>
      <c r="M24" s="735"/>
      <c r="N24" s="735"/>
      <c r="O24" s="735"/>
      <c r="P24" s="735"/>
      <c r="Q24" s="735"/>
      <c r="R24" s="735"/>
      <c r="S24" s="735"/>
      <c r="T24" s="735"/>
      <c r="U24" s="735"/>
      <c r="V24" s="736"/>
      <c r="W24" s="732">
        <f t="shared" ca="1" si="1"/>
        <v>0</v>
      </c>
      <c r="X24" s="732"/>
      <c r="Y24" s="737"/>
      <c r="Z24" s="738">
        <f t="shared" ref="Z24" si="106">CK24</f>
        <v>0</v>
      </c>
      <c r="AA24" s="739"/>
      <c r="AB24" s="739"/>
      <c r="AC24" s="739"/>
      <c r="AD24" s="739"/>
      <c r="AE24" s="739"/>
      <c r="AF24" s="739"/>
      <c r="AG24" s="739"/>
      <c r="AH24" s="739"/>
      <c r="AI24" s="739"/>
      <c r="AJ24" s="739"/>
      <c r="AK24" s="739"/>
      <c r="AL24" s="739"/>
      <c r="AM24" s="740"/>
      <c r="AN24" s="741" t="s">
        <v>124</v>
      </c>
      <c r="AO24" s="741" t="str">
        <f t="shared" si="2"/>
        <v>Yandex.ru</v>
      </c>
      <c r="AP24" s="742">
        <f t="shared" si="3"/>
        <v>40</v>
      </c>
      <c r="AQ24" s="743" t="str">
        <f t="shared" ca="1" si="14"/>
        <v>Вкл.</v>
      </c>
      <c r="AR24" s="743" t="str">
        <f t="shared" ca="1" si="14"/>
        <v>Вкл.</v>
      </c>
      <c r="AS24" s="744">
        <v>0</v>
      </c>
      <c r="AT24" s="745">
        <v>0</v>
      </c>
      <c r="AU24" s="746">
        <f t="shared" ca="1" si="15"/>
        <v>180</v>
      </c>
      <c r="AV24" s="747">
        <f t="shared" ca="1" si="16"/>
        <v>180</v>
      </c>
      <c r="AW24" s="748">
        <f t="shared" ca="1" si="17"/>
        <v>180</v>
      </c>
      <c r="AX24" s="749"/>
      <c r="AY24" s="749"/>
      <c r="AZ24" s="750">
        <f t="shared" ca="1" si="18"/>
        <v>180</v>
      </c>
      <c r="BA24" s="751">
        <f t="shared" ca="1" si="19"/>
        <v>180</v>
      </c>
      <c r="BB24" s="750">
        <f t="shared" ca="1" si="20"/>
        <v>1</v>
      </c>
      <c r="BC24" s="752" t="str">
        <f t="shared" ca="1" si="20"/>
        <v>1000 контактов</v>
      </c>
      <c r="BD24" s="745" t="str">
        <f t="shared" ca="1" si="21"/>
        <v>х1000</v>
      </c>
      <c r="BE24" s="753">
        <f t="shared" ca="1" si="4"/>
        <v>0</v>
      </c>
      <c r="BF24" s="750">
        <f t="array" aca="1" ref="BF24" ca="1">SUM($K24:$V24*$BK24:$BV24)*$AZ24</f>
        <v>0</v>
      </c>
      <c r="BG24" s="750">
        <f t="array" aca="1" ref="BG24" ca="1">SUM($K24:$V24*$BY24:$CJ24*$BK24:$BV24)*$AZ24*$BX24</f>
        <v>0</v>
      </c>
      <c r="BH24" s="750">
        <f t="array" aca="1" ref="BH24" ca="1">SUM($K24:$V24*$BY24:$CJ24*$BK24:$BV24)*(1-$BE24)*$AZ24*$BX24</f>
        <v>0</v>
      </c>
      <c r="BI24" s="754">
        <f t="shared" ca="1" si="22"/>
        <v>0</v>
      </c>
      <c r="BJ24" s="755" t="str">
        <f t="shared" ca="1" si="23"/>
        <v>Да</v>
      </c>
      <c r="BK24" s="756">
        <f t="shared" ca="1" si="24"/>
        <v>0.6</v>
      </c>
      <c r="BL24" s="757">
        <f t="shared" ca="1" si="24"/>
        <v>0.7</v>
      </c>
      <c r="BM24" s="757">
        <f t="shared" ca="1" si="24"/>
        <v>1</v>
      </c>
      <c r="BN24" s="757">
        <f t="shared" ca="1" si="24"/>
        <v>1</v>
      </c>
      <c r="BO24" s="757">
        <f t="shared" ca="1" si="24"/>
        <v>1</v>
      </c>
      <c r="BP24" s="757">
        <f t="shared" ca="1" si="24"/>
        <v>1</v>
      </c>
      <c r="BQ24" s="757">
        <f t="shared" ca="1" si="24"/>
        <v>1</v>
      </c>
      <c r="BR24" s="757">
        <f t="shared" ca="1" si="24"/>
        <v>1</v>
      </c>
      <c r="BS24" s="757">
        <f t="shared" ca="1" si="24"/>
        <v>1.4</v>
      </c>
      <c r="BT24" s="757">
        <f t="shared" ca="1" si="24"/>
        <v>1.4</v>
      </c>
      <c r="BU24" s="757">
        <f t="shared" ca="1" si="24"/>
        <v>1.4</v>
      </c>
      <c r="BV24" s="758">
        <f t="shared" ca="1" si="24"/>
        <v>1.4</v>
      </c>
      <c r="BW24" s="749">
        <f t="shared" si="6"/>
        <v>14</v>
      </c>
      <c r="BX24" s="759">
        <f>IF($AN24="Ya",100%,100%+extraDelayZ)</f>
        <v>1</v>
      </c>
      <c r="BY24" s="760">
        <f t="shared" ref="BY24" si="107">(1+AA24)</f>
        <v>1</v>
      </c>
      <c r="BZ24" s="761">
        <f t="shared" ref="BZ24" si="108">(1+AB24)</f>
        <v>1</v>
      </c>
      <c r="CA24" s="761">
        <f t="shared" ref="CA24" si="109">(1+AC24)</f>
        <v>1</v>
      </c>
      <c r="CB24" s="761">
        <f t="shared" ref="CB24" si="110">(1+AD24)</f>
        <v>1</v>
      </c>
      <c r="CC24" s="761">
        <f t="shared" ref="CC24" si="111">(1+AE24)</f>
        <v>1</v>
      </c>
      <c r="CD24" s="761">
        <f t="shared" ref="CD24" si="112">(1+AF24)</f>
        <v>1</v>
      </c>
      <c r="CE24" s="761">
        <f t="shared" ref="CE24" si="113">(1+AG24)</f>
        <v>1</v>
      </c>
      <c r="CF24" s="761">
        <f t="shared" ref="CF24" si="114">(1+AH24)</f>
        <v>1</v>
      </c>
      <c r="CG24" s="761">
        <f t="shared" ref="CG24" si="115">(1+AI24)</f>
        <v>1</v>
      </c>
      <c r="CH24" s="761">
        <f t="shared" ref="CH24" si="116">(1+AJ24)</f>
        <v>1</v>
      </c>
      <c r="CI24" s="761">
        <f t="shared" ref="CI24" si="117">(1+AK24)</f>
        <v>1</v>
      </c>
      <c r="CJ24" s="762">
        <f t="shared" ref="CJ24" si="118">(1+AL24)</f>
        <v>1</v>
      </c>
      <c r="CK24" s="763">
        <f t="array" ref="CK24">IF(ISERROR(SUM($K24:$V24*$BY24:$CJ24)/SUM($K24:$V24)),1,SUM($K24:$V24*$BY24:$CJ24)/SUM($K24:$V24))-1</f>
        <v>0</v>
      </c>
      <c r="CL24" s="726"/>
    </row>
    <row r="25" spans="1:90" s="727" customFormat="1" ht="12.75" hidden="1" outlineLevel="1" x14ac:dyDescent="0.2">
      <c r="A25" s="728"/>
      <c r="B25" s="729" t="str">
        <f t="shared" ca="1" si="7"/>
        <v>Авто, Пакет "Федеральный 1000К", 728х90</v>
      </c>
      <c r="C25" s="730" t="str">
        <f t="shared" ca="1" si="26"/>
        <v>Пакет</v>
      </c>
      <c r="D25" s="731">
        <f t="shared" ca="1" si="8"/>
        <v>340</v>
      </c>
      <c r="E25" s="731">
        <f t="shared" ca="1" si="9"/>
        <v>340</v>
      </c>
      <c r="F25" s="731">
        <f t="shared" ca="1" si="10"/>
        <v>340</v>
      </c>
      <c r="G25" s="732">
        <f t="shared" ca="1" si="11"/>
        <v>340000</v>
      </c>
      <c r="H25" s="732">
        <f t="shared" ca="1" si="12"/>
        <v>340000</v>
      </c>
      <c r="I25" s="732">
        <f t="shared" ca="1" si="13"/>
        <v>0</v>
      </c>
      <c r="J25" s="733">
        <f t="shared" ca="1" si="40"/>
        <v>0</v>
      </c>
      <c r="K25" s="734"/>
      <c r="L25" s="735"/>
      <c r="M25" s="735"/>
      <c r="N25" s="735"/>
      <c r="O25" s="735"/>
      <c r="P25" s="735"/>
      <c r="Q25" s="735"/>
      <c r="R25" s="735"/>
      <c r="S25" s="735"/>
      <c r="T25" s="735"/>
      <c r="U25" s="735"/>
      <c r="V25" s="736"/>
      <c r="W25" s="732">
        <f t="shared" ca="1" si="1"/>
        <v>0</v>
      </c>
      <c r="X25" s="732"/>
      <c r="Y25" s="737"/>
      <c r="Z25" s="738">
        <f t="shared" ref="Z25" si="119">CK25</f>
        <v>0</v>
      </c>
      <c r="AA25" s="739"/>
      <c r="AB25" s="739"/>
      <c r="AC25" s="739"/>
      <c r="AD25" s="739"/>
      <c r="AE25" s="739"/>
      <c r="AF25" s="739"/>
      <c r="AG25" s="739"/>
      <c r="AH25" s="739"/>
      <c r="AI25" s="739"/>
      <c r="AJ25" s="739"/>
      <c r="AK25" s="739"/>
      <c r="AL25" s="739"/>
      <c r="AM25" s="740"/>
      <c r="AN25" s="741" t="s">
        <v>124</v>
      </c>
      <c r="AO25" s="741" t="str">
        <f t="shared" si="2"/>
        <v>Yandex.ru</v>
      </c>
      <c r="AP25" s="742">
        <f t="shared" si="3"/>
        <v>40</v>
      </c>
      <c r="AQ25" s="743" t="str">
        <f t="shared" ca="1" si="14"/>
        <v>Вкл.</v>
      </c>
      <c r="AR25" s="743" t="str">
        <f t="shared" ca="1" si="14"/>
        <v>-</v>
      </c>
      <c r="AS25" s="744">
        <v>0</v>
      </c>
      <c r="AT25" s="745">
        <v>0</v>
      </c>
      <c r="AU25" s="746">
        <f t="shared" ca="1" si="15"/>
        <v>340</v>
      </c>
      <c r="AV25" s="747">
        <f t="shared" ca="1" si="16"/>
        <v>340</v>
      </c>
      <c r="AW25" s="748">
        <f t="shared" ca="1" si="17"/>
        <v>340</v>
      </c>
      <c r="AX25" s="749"/>
      <c r="AY25" s="749"/>
      <c r="AZ25" s="750">
        <f t="shared" ca="1" si="18"/>
        <v>340000</v>
      </c>
      <c r="BA25" s="751">
        <f t="shared" ca="1" si="19"/>
        <v>340000</v>
      </c>
      <c r="BB25" s="750">
        <f t="shared" ca="1" si="20"/>
        <v>1000</v>
      </c>
      <c r="BC25" s="752" t="str">
        <f t="shared" ca="1" si="20"/>
        <v>Пакет</v>
      </c>
      <c r="BD25" s="745" t="str">
        <f t="shared" ca="1" si="21"/>
        <v>Пакет</v>
      </c>
      <c r="BE25" s="753">
        <f t="shared" ca="1" si="4"/>
        <v>0</v>
      </c>
      <c r="BF25" s="750">
        <f t="array" aca="1" ref="BF25" ca="1">SUM($K25:$V25*$BK25:$BV25)*$AZ25</f>
        <v>0</v>
      </c>
      <c r="BG25" s="750">
        <f t="array" aca="1" ref="BG25" ca="1">SUM($K25:$V25*$BY25:$CJ25*$BK25:$BV25)*$AZ25*$BX25</f>
        <v>0</v>
      </c>
      <c r="BH25" s="750">
        <f t="array" aca="1" ref="BH25" ca="1">SUM($K25:$V25*$BY25:$CJ25*$BK25:$BV25)*(1-$BE25)*$AZ25*$BX25</f>
        <v>0</v>
      </c>
      <c r="BI25" s="754">
        <f t="shared" ca="1" si="22"/>
        <v>0</v>
      </c>
      <c r="BJ25" s="755" t="str">
        <f t="shared" ca="1" si="23"/>
        <v>Да</v>
      </c>
      <c r="BK25" s="756">
        <f t="shared" ca="1" si="24"/>
        <v>0.6</v>
      </c>
      <c r="BL25" s="757">
        <f t="shared" ca="1" si="24"/>
        <v>0.7</v>
      </c>
      <c r="BM25" s="757">
        <f t="shared" ca="1" si="24"/>
        <v>1</v>
      </c>
      <c r="BN25" s="757">
        <f t="shared" ca="1" si="24"/>
        <v>1</v>
      </c>
      <c r="BO25" s="757">
        <f t="shared" ca="1" si="24"/>
        <v>1</v>
      </c>
      <c r="BP25" s="757">
        <f t="shared" ca="1" si="24"/>
        <v>1</v>
      </c>
      <c r="BQ25" s="757">
        <f t="shared" ca="1" si="24"/>
        <v>1</v>
      </c>
      <c r="BR25" s="757">
        <f t="shared" ca="1" si="24"/>
        <v>1</v>
      </c>
      <c r="BS25" s="757">
        <f t="shared" ca="1" si="24"/>
        <v>1.4</v>
      </c>
      <c r="BT25" s="757">
        <f t="shared" ca="1" si="24"/>
        <v>1.4</v>
      </c>
      <c r="BU25" s="757">
        <f t="shared" ca="1" si="24"/>
        <v>1.4</v>
      </c>
      <c r="BV25" s="758">
        <f t="shared" ca="1" si="24"/>
        <v>1.4</v>
      </c>
      <c r="BW25" s="749">
        <f t="shared" si="6"/>
        <v>15</v>
      </c>
      <c r="BX25" s="759">
        <f>IF($AN25="Ya",100%,100%+extraDelayZ)</f>
        <v>1</v>
      </c>
      <c r="BY25" s="760">
        <f t="shared" ref="BY25" si="120">(1+AA25)</f>
        <v>1</v>
      </c>
      <c r="BZ25" s="761">
        <f t="shared" ref="BZ25" si="121">(1+AB25)</f>
        <v>1</v>
      </c>
      <c r="CA25" s="761">
        <f t="shared" ref="CA25" si="122">(1+AC25)</f>
        <v>1</v>
      </c>
      <c r="CB25" s="761">
        <f t="shared" ref="CB25" si="123">(1+AD25)</f>
        <v>1</v>
      </c>
      <c r="CC25" s="761">
        <f t="shared" ref="CC25" si="124">(1+AE25)</f>
        <v>1</v>
      </c>
      <c r="CD25" s="761">
        <f t="shared" ref="CD25" si="125">(1+AF25)</f>
        <v>1</v>
      </c>
      <c r="CE25" s="761">
        <f t="shared" ref="CE25" si="126">(1+AG25)</f>
        <v>1</v>
      </c>
      <c r="CF25" s="761">
        <f t="shared" ref="CF25" si="127">(1+AH25)</f>
        <v>1</v>
      </c>
      <c r="CG25" s="761">
        <f t="shared" ref="CG25" si="128">(1+AI25)</f>
        <v>1</v>
      </c>
      <c r="CH25" s="761">
        <f t="shared" ref="CH25" si="129">(1+AJ25)</f>
        <v>1</v>
      </c>
      <c r="CI25" s="761">
        <f t="shared" ref="CI25" si="130">(1+AK25)</f>
        <v>1</v>
      </c>
      <c r="CJ25" s="762">
        <f t="shared" ref="CJ25" si="131">(1+AL25)</f>
        <v>1</v>
      </c>
      <c r="CK25" s="763">
        <f t="array" ref="CK25">IF(ISERROR(SUM($K25:$V25*$BY25:$CJ25)/SUM($K25:$V25)),1,SUM($K25:$V25*$BY25:$CJ25)/SUM($K25:$V25))-1</f>
        <v>0</v>
      </c>
      <c r="CL25" s="726"/>
    </row>
    <row r="26" spans="1:90" s="727" customFormat="1" ht="12.75" hidden="1" outlineLevel="1" x14ac:dyDescent="0.2">
      <c r="A26" s="728"/>
      <c r="B26" s="729" t="str">
        <f t="shared" ca="1" si="7"/>
        <v>Авто, Пакет "Федеральный 1700К", 728х90</v>
      </c>
      <c r="C26" s="730" t="str">
        <f t="shared" ca="1" si="26"/>
        <v>Пакет</v>
      </c>
      <c r="D26" s="731">
        <f t="shared" ca="1" si="8"/>
        <v>300</v>
      </c>
      <c r="E26" s="731">
        <f t="shared" ca="1" si="9"/>
        <v>300</v>
      </c>
      <c r="F26" s="731">
        <f t="shared" ca="1" si="10"/>
        <v>300</v>
      </c>
      <c r="G26" s="732">
        <f t="shared" ca="1" si="11"/>
        <v>510000</v>
      </c>
      <c r="H26" s="732">
        <f t="shared" ca="1" si="12"/>
        <v>510000</v>
      </c>
      <c r="I26" s="732">
        <f t="shared" ca="1" si="13"/>
        <v>0</v>
      </c>
      <c r="J26" s="733">
        <f t="shared" ca="1" si="40"/>
        <v>0</v>
      </c>
      <c r="K26" s="734"/>
      <c r="L26" s="735"/>
      <c r="M26" s="735"/>
      <c r="N26" s="735"/>
      <c r="O26" s="735"/>
      <c r="P26" s="735"/>
      <c r="Q26" s="735"/>
      <c r="R26" s="735"/>
      <c r="S26" s="735"/>
      <c r="T26" s="735"/>
      <c r="U26" s="735"/>
      <c r="V26" s="736"/>
      <c r="W26" s="732">
        <f t="shared" ca="1" si="1"/>
        <v>0</v>
      </c>
      <c r="X26" s="732"/>
      <c r="Y26" s="737"/>
      <c r="Z26" s="738">
        <f t="shared" ref="Z26" si="132">CK26</f>
        <v>0</v>
      </c>
      <c r="AA26" s="739"/>
      <c r="AB26" s="739"/>
      <c r="AC26" s="739"/>
      <c r="AD26" s="739"/>
      <c r="AE26" s="739"/>
      <c r="AF26" s="739"/>
      <c r="AG26" s="739"/>
      <c r="AH26" s="739"/>
      <c r="AI26" s="739"/>
      <c r="AJ26" s="739"/>
      <c r="AK26" s="739"/>
      <c r="AL26" s="739"/>
      <c r="AM26" s="740"/>
      <c r="AN26" s="741" t="s">
        <v>124</v>
      </c>
      <c r="AO26" s="741" t="str">
        <f t="shared" si="2"/>
        <v>Yandex.ru</v>
      </c>
      <c r="AP26" s="742">
        <f t="shared" si="3"/>
        <v>40</v>
      </c>
      <c r="AQ26" s="743" t="str">
        <f t="shared" ca="1" si="14"/>
        <v>Вкл.</v>
      </c>
      <c r="AR26" s="743" t="str">
        <f t="shared" ca="1" si="14"/>
        <v>-</v>
      </c>
      <c r="AS26" s="744">
        <v>0</v>
      </c>
      <c r="AT26" s="745">
        <v>0</v>
      </c>
      <c r="AU26" s="746">
        <f t="shared" ca="1" si="15"/>
        <v>300</v>
      </c>
      <c r="AV26" s="747">
        <f t="shared" ca="1" si="16"/>
        <v>300</v>
      </c>
      <c r="AW26" s="748">
        <f t="shared" ca="1" si="17"/>
        <v>300</v>
      </c>
      <c r="AX26" s="749"/>
      <c r="AY26" s="749"/>
      <c r="AZ26" s="750">
        <f t="shared" ca="1" si="18"/>
        <v>510000</v>
      </c>
      <c r="BA26" s="751">
        <f t="shared" ca="1" si="19"/>
        <v>510000</v>
      </c>
      <c r="BB26" s="750">
        <f t="shared" ca="1" si="20"/>
        <v>1700</v>
      </c>
      <c r="BC26" s="752" t="str">
        <f t="shared" ca="1" si="20"/>
        <v>Пакет</v>
      </c>
      <c r="BD26" s="745" t="str">
        <f t="shared" ca="1" si="21"/>
        <v>Пакет</v>
      </c>
      <c r="BE26" s="753">
        <f t="shared" ca="1" si="4"/>
        <v>0</v>
      </c>
      <c r="BF26" s="750">
        <f t="array" aca="1" ref="BF26" ca="1">SUM($K26:$V26*$BK26:$BV26)*$AZ26</f>
        <v>0</v>
      </c>
      <c r="BG26" s="750">
        <f t="array" aca="1" ref="BG26" ca="1">SUM($K26:$V26*$BY26:$CJ26*$BK26:$BV26)*$AZ26*$BX26</f>
        <v>0</v>
      </c>
      <c r="BH26" s="750">
        <f t="array" aca="1" ref="BH26" ca="1">SUM($K26:$V26*$BY26:$CJ26*$BK26:$BV26)*(1-$BE26)*$AZ26*$BX26</f>
        <v>0</v>
      </c>
      <c r="BI26" s="754">
        <f t="shared" ca="1" si="22"/>
        <v>0</v>
      </c>
      <c r="BJ26" s="755" t="str">
        <f t="shared" ca="1" si="23"/>
        <v>Да</v>
      </c>
      <c r="BK26" s="756">
        <f t="shared" ca="1" si="24"/>
        <v>0.6</v>
      </c>
      <c r="BL26" s="757">
        <f t="shared" ca="1" si="24"/>
        <v>0.7</v>
      </c>
      <c r="BM26" s="757">
        <f t="shared" ca="1" si="24"/>
        <v>1</v>
      </c>
      <c r="BN26" s="757">
        <f t="shared" ca="1" si="24"/>
        <v>1</v>
      </c>
      <c r="BO26" s="757">
        <f t="shared" ca="1" si="24"/>
        <v>1</v>
      </c>
      <c r="BP26" s="757">
        <f t="shared" ca="1" si="24"/>
        <v>1</v>
      </c>
      <c r="BQ26" s="757">
        <f t="shared" ca="1" si="24"/>
        <v>1</v>
      </c>
      <c r="BR26" s="757">
        <f t="shared" ca="1" si="24"/>
        <v>1</v>
      </c>
      <c r="BS26" s="757">
        <f t="shared" ca="1" si="24"/>
        <v>1.4</v>
      </c>
      <c r="BT26" s="757">
        <f t="shared" ca="1" si="24"/>
        <v>1.4</v>
      </c>
      <c r="BU26" s="757">
        <f t="shared" ca="1" si="24"/>
        <v>1.4</v>
      </c>
      <c r="BV26" s="758">
        <f t="shared" ca="1" si="24"/>
        <v>1.4</v>
      </c>
      <c r="BW26" s="749">
        <f t="shared" si="6"/>
        <v>16</v>
      </c>
      <c r="BX26" s="759">
        <f>IF($AN26="Ya",100%,100%+extraDelayZ)</f>
        <v>1</v>
      </c>
      <c r="BY26" s="760">
        <f t="shared" ref="BY26" si="133">(1+AA26)</f>
        <v>1</v>
      </c>
      <c r="BZ26" s="761">
        <f t="shared" ref="BZ26" si="134">(1+AB26)</f>
        <v>1</v>
      </c>
      <c r="CA26" s="761">
        <f t="shared" ref="CA26" si="135">(1+AC26)</f>
        <v>1</v>
      </c>
      <c r="CB26" s="761">
        <f t="shared" ref="CB26" si="136">(1+AD26)</f>
        <v>1</v>
      </c>
      <c r="CC26" s="761">
        <f t="shared" ref="CC26" si="137">(1+AE26)</f>
        <v>1</v>
      </c>
      <c r="CD26" s="761">
        <f t="shared" ref="CD26" si="138">(1+AF26)</f>
        <v>1</v>
      </c>
      <c r="CE26" s="761">
        <f t="shared" ref="CE26" si="139">(1+AG26)</f>
        <v>1</v>
      </c>
      <c r="CF26" s="761">
        <f t="shared" ref="CF26" si="140">(1+AH26)</f>
        <v>1</v>
      </c>
      <c r="CG26" s="761">
        <f t="shared" ref="CG26" si="141">(1+AI26)</f>
        <v>1</v>
      </c>
      <c r="CH26" s="761">
        <f t="shared" ref="CH26" si="142">(1+AJ26)</f>
        <v>1</v>
      </c>
      <c r="CI26" s="761">
        <f t="shared" ref="CI26" si="143">(1+AK26)</f>
        <v>1</v>
      </c>
      <c r="CJ26" s="762">
        <f t="shared" ref="CJ26" si="144">(1+AL26)</f>
        <v>1</v>
      </c>
      <c r="CK26" s="763">
        <f t="array" ref="CK26">IF(ISERROR(SUM($K26:$V26*$BY26:$CJ26)/SUM($K26:$V26)),1,SUM($K26:$V26*$BY26:$CJ26)/SUM($K26:$V26))-1</f>
        <v>0</v>
      </c>
      <c r="CL26" s="726"/>
    </row>
    <row r="27" spans="1:90" s="727" customFormat="1" ht="12.75" hidden="1" outlineLevel="1" x14ac:dyDescent="0.2">
      <c r="A27" s="728"/>
      <c r="B27" s="729" t="str">
        <f t="shared" ca="1" si="7"/>
        <v>Авто, Все страницы, Таргетинг на Россию, 728х90</v>
      </c>
      <c r="C27" s="730" t="str">
        <f t="shared" ca="1" si="26"/>
        <v>х1000</v>
      </c>
      <c r="D27" s="731">
        <f t="shared" ca="1" si="8"/>
        <v>380</v>
      </c>
      <c r="E27" s="731">
        <f t="shared" ca="1" si="9"/>
        <v>380</v>
      </c>
      <c r="F27" s="731">
        <f t="shared" ca="1" si="10"/>
        <v>380</v>
      </c>
      <c r="G27" s="732">
        <f t="shared" ca="1" si="11"/>
        <v>380</v>
      </c>
      <c r="H27" s="732">
        <f t="shared" ca="1" si="12"/>
        <v>380</v>
      </c>
      <c r="I27" s="732">
        <f t="shared" ca="1" si="13"/>
        <v>0</v>
      </c>
      <c r="J27" s="733">
        <f t="shared" ca="1" si="40"/>
        <v>0</v>
      </c>
      <c r="K27" s="734"/>
      <c r="L27" s="735"/>
      <c r="M27" s="735"/>
      <c r="N27" s="735"/>
      <c r="O27" s="735"/>
      <c r="P27" s="735"/>
      <c r="Q27" s="735"/>
      <c r="R27" s="735"/>
      <c r="S27" s="735"/>
      <c r="T27" s="735"/>
      <c r="U27" s="735"/>
      <c r="V27" s="736"/>
      <c r="W27" s="732">
        <f t="shared" ca="1" si="1"/>
        <v>0</v>
      </c>
      <c r="X27" s="732"/>
      <c r="Y27" s="737"/>
      <c r="Z27" s="738">
        <f t="shared" ref="Z27" si="145">CK27</f>
        <v>0</v>
      </c>
      <c r="AA27" s="739"/>
      <c r="AB27" s="739"/>
      <c r="AC27" s="739"/>
      <c r="AD27" s="739"/>
      <c r="AE27" s="739"/>
      <c r="AF27" s="739"/>
      <c r="AG27" s="739"/>
      <c r="AH27" s="739"/>
      <c r="AI27" s="739"/>
      <c r="AJ27" s="739"/>
      <c r="AK27" s="739"/>
      <c r="AL27" s="739"/>
      <c r="AM27" s="740"/>
      <c r="AN27" s="741" t="s">
        <v>124</v>
      </c>
      <c r="AO27" s="741" t="str">
        <f t="shared" si="2"/>
        <v>Yandex.ru</v>
      </c>
      <c r="AP27" s="742">
        <f t="shared" si="3"/>
        <v>40</v>
      </c>
      <c r="AQ27" s="743" t="str">
        <f t="shared" ca="1" si="14"/>
        <v>Вкл.</v>
      </c>
      <c r="AR27" s="743" t="str">
        <f t="shared" ca="1" si="14"/>
        <v>Вкл.</v>
      </c>
      <c r="AS27" s="744">
        <v>0</v>
      </c>
      <c r="AT27" s="745">
        <v>0</v>
      </c>
      <c r="AU27" s="746">
        <f t="shared" ca="1" si="15"/>
        <v>380</v>
      </c>
      <c r="AV27" s="747">
        <f t="shared" ca="1" si="16"/>
        <v>380</v>
      </c>
      <c r="AW27" s="748">
        <f t="shared" ca="1" si="17"/>
        <v>380</v>
      </c>
      <c r="AX27" s="749"/>
      <c r="AY27" s="749"/>
      <c r="AZ27" s="750">
        <f t="shared" ca="1" si="18"/>
        <v>380</v>
      </c>
      <c r="BA27" s="751">
        <f t="shared" ca="1" si="19"/>
        <v>380</v>
      </c>
      <c r="BB27" s="750">
        <f t="shared" ca="1" si="20"/>
        <v>1</v>
      </c>
      <c r="BC27" s="752" t="str">
        <f t="shared" ca="1" si="20"/>
        <v>1000 контактов</v>
      </c>
      <c r="BD27" s="745" t="str">
        <f t="shared" ca="1" si="21"/>
        <v>х1000</v>
      </c>
      <c r="BE27" s="753">
        <f t="shared" ca="1" si="4"/>
        <v>0</v>
      </c>
      <c r="BF27" s="750">
        <f t="array" aca="1" ref="BF27" ca="1">SUM($K27:$V27*$BK27:$BV27)*$AZ27</f>
        <v>0</v>
      </c>
      <c r="BG27" s="750">
        <f t="array" aca="1" ref="BG27" ca="1">SUM($K27:$V27*$BY27:$CJ27*$BK27:$BV27)*$AZ27*$BX27</f>
        <v>0</v>
      </c>
      <c r="BH27" s="750">
        <f t="array" aca="1" ref="BH27" ca="1">SUM($K27:$V27*$BY27:$CJ27*$BK27:$BV27)*(1-$BE27)*$AZ27*$BX27</f>
        <v>0</v>
      </c>
      <c r="BI27" s="754">
        <f t="shared" ca="1" si="22"/>
        <v>0</v>
      </c>
      <c r="BJ27" s="755" t="str">
        <f t="shared" ca="1" si="23"/>
        <v>Да</v>
      </c>
      <c r="BK27" s="756">
        <f t="shared" ca="1" si="24"/>
        <v>0.6</v>
      </c>
      <c r="BL27" s="757">
        <f t="shared" ca="1" si="24"/>
        <v>0.7</v>
      </c>
      <c r="BM27" s="757">
        <f t="shared" ca="1" si="24"/>
        <v>1</v>
      </c>
      <c r="BN27" s="757">
        <f t="shared" ca="1" si="24"/>
        <v>1</v>
      </c>
      <c r="BO27" s="757">
        <f t="shared" ca="1" si="24"/>
        <v>1</v>
      </c>
      <c r="BP27" s="757">
        <f t="shared" ca="1" si="24"/>
        <v>1</v>
      </c>
      <c r="BQ27" s="757">
        <f t="shared" ca="1" si="24"/>
        <v>1</v>
      </c>
      <c r="BR27" s="757">
        <f t="shared" ca="1" si="24"/>
        <v>1</v>
      </c>
      <c r="BS27" s="757">
        <f t="shared" ca="1" si="24"/>
        <v>1.4</v>
      </c>
      <c r="BT27" s="757">
        <f t="shared" ca="1" si="24"/>
        <v>1.4</v>
      </c>
      <c r="BU27" s="757">
        <f t="shared" ca="1" si="24"/>
        <v>1.4</v>
      </c>
      <c r="BV27" s="758">
        <f t="shared" ca="1" si="24"/>
        <v>1.4</v>
      </c>
      <c r="BW27" s="749">
        <f t="shared" si="6"/>
        <v>17</v>
      </c>
      <c r="BX27" s="759">
        <f>IF($AN27="Ya",100%,100%+extraDelayZ)</f>
        <v>1</v>
      </c>
      <c r="BY27" s="760">
        <f t="shared" ref="BY27" si="146">(1+AA27)</f>
        <v>1</v>
      </c>
      <c r="BZ27" s="761">
        <f t="shared" ref="BZ27" si="147">(1+AB27)</f>
        <v>1</v>
      </c>
      <c r="CA27" s="761">
        <f t="shared" ref="CA27" si="148">(1+AC27)</f>
        <v>1</v>
      </c>
      <c r="CB27" s="761">
        <f t="shared" ref="CB27" si="149">(1+AD27)</f>
        <v>1</v>
      </c>
      <c r="CC27" s="761">
        <f t="shared" ref="CC27" si="150">(1+AE27)</f>
        <v>1</v>
      </c>
      <c r="CD27" s="761">
        <f t="shared" ref="CD27" si="151">(1+AF27)</f>
        <v>1</v>
      </c>
      <c r="CE27" s="761">
        <f t="shared" ref="CE27" si="152">(1+AG27)</f>
        <v>1</v>
      </c>
      <c r="CF27" s="761">
        <f t="shared" ref="CF27" si="153">(1+AH27)</f>
        <v>1</v>
      </c>
      <c r="CG27" s="761">
        <f t="shared" ref="CG27" si="154">(1+AI27)</f>
        <v>1</v>
      </c>
      <c r="CH27" s="761">
        <f t="shared" ref="CH27" si="155">(1+AJ27)</f>
        <v>1</v>
      </c>
      <c r="CI27" s="761">
        <f t="shared" ref="CI27" si="156">(1+AK27)</f>
        <v>1</v>
      </c>
      <c r="CJ27" s="762">
        <f t="shared" ref="CJ27" si="157">(1+AL27)</f>
        <v>1</v>
      </c>
      <c r="CK27" s="763">
        <f t="array" ref="CK27">IF(ISERROR(SUM($K27:$V27*$BY27:$CJ27)/SUM($K27:$V27)),1,SUM($K27:$V27*$BY27:$CJ27)/SUM($K27:$V27))-1</f>
        <v>0</v>
      </c>
      <c r="CL27" s="726"/>
    </row>
    <row r="28" spans="1:90" s="727" customFormat="1" ht="12.75" hidden="1" outlineLevel="1" x14ac:dyDescent="0.2">
      <c r="A28" s="728"/>
      <c r="B28" s="729" t="str">
        <f t="shared" ca="1" si="7"/>
        <v>Авто, Все страницы, Таргетинг на Москву, 728х90</v>
      </c>
      <c r="C28" s="730" t="str">
        <f t="shared" ca="1" si="26"/>
        <v>х1000</v>
      </c>
      <c r="D28" s="731">
        <f t="shared" ca="1" si="8"/>
        <v>400</v>
      </c>
      <c r="E28" s="731">
        <f t="shared" ca="1" si="9"/>
        <v>400</v>
      </c>
      <c r="F28" s="731">
        <f t="shared" ca="1" si="10"/>
        <v>400</v>
      </c>
      <c r="G28" s="732">
        <f t="shared" ca="1" si="11"/>
        <v>400</v>
      </c>
      <c r="H28" s="732">
        <f t="shared" ca="1" si="12"/>
        <v>400</v>
      </c>
      <c r="I28" s="732">
        <f t="shared" ca="1" si="13"/>
        <v>0</v>
      </c>
      <c r="J28" s="733">
        <f t="shared" ca="1" si="40"/>
        <v>0</v>
      </c>
      <c r="K28" s="734"/>
      <c r="L28" s="735"/>
      <c r="M28" s="735"/>
      <c r="N28" s="735"/>
      <c r="O28" s="735"/>
      <c r="P28" s="735"/>
      <c r="Q28" s="735"/>
      <c r="R28" s="735"/>
      <c r="S28" s="735"/>
      <c r="T28" s="735"/>
      <c r="U28" s="735"/>
      <c r="V28" s="736"/>
      <c r="W28" s="732">
        <f t="shared" ca="1" si="1"/>
        <v>0</v>
      </c>
      <c r="X28" s="732"/>
      <c r="Y28" s="737"/>
      <c r="Z28" s="738">
        <f t="shared" ref="Z28" si="158">CK28</f>
        <v>0</v>
      </c>
      <c r="AA28" s="739"/>
      <c r="AB28" s="739"/>
      <c r="AC28" s="739"/>
      <c r="AD28" s="739"/>
      <c r="AE28" s="739"/>
      <c r="AF28" s="739"/>
      <c r="AG28" s="739"/>
      <c r="AH28" s="739"/>
      <c r="AI28" s="739"/>
      <c r="AJ28" s="739"/>
      <c r="AK28" s="739"/>
      <c r="AL28" s="739"/>
      <c r="AM28" s="740"/>
      <c r="AN28" s="741" t="s">
        <v>124</v>
      </c>
      <c r="AO28" s="741" t="str">
        <f t="shared" si="2"/>
        <v>Yandex.ru</v>
      </c>
      <c r="AP28" s="742">
        <f t="shared" si="3"/>
        <v>40</v>
      </c>
      <c r="AQ28" s="743" t="str">
        <f t="shared" ca="1" si="14"/>
        <v>Вкл.</v>
      </c>
      <c r="AR28" s="743" t="str">
        <f t="shared" ca="1" si="14"/>
        <v>Вкл.</v>
      </c>
      <c r="AS28" s="744">
        <v>0</v>
      </c>
      <c r="AT28" s="745">
        <v>0</v>
      </c>
      <c r="AU28" s="746">
        <f t="shared" ca="1" si="15"/>
        <v>400</v>
      </c>
      <c r="AV28" s="747">
        <f t="shared" ca="1" si="16"/>
        <v>400</v>
      </c>
      <c r="AW28" s="748">
        <f t="shared" ca="1" si="17"/>
        <v>400</v>
      </c>
      <c r="AX28" s="749"/>
      <c r="AY28" s="749"/>
      <c r="AZ28" s="750">
        <f t="shared" ca="1" si="18"/>
        <v>400</v>
      </c>
      <c r="BA28" s="751">
        <f t="shared" ca="1" si="19"/>
        <v>400</v>
      </c>
      <c r="BB28" s="750">
        <f t="shared" ca="1" si="20"/>
        <v>1</v>
      </c>
      <c r="BC28" s="752" t="str">
        <f t="shared" ca="1" si="20"/>
        <v>1000 контактов</v>
      </c>
      <c r="BD28" s="745" t="str">
        <f t="shared" ca="1" si="21"/>
        <v>х1000</v>
      </c>
      <c r="BE28" s="753">
        <f t="shared" ca="1" si="4"/>
        <v>0</v>
      </c>
      <c r="BF28" s="750">
        <f t="array" aca="1" ref="BF28" ca="1">SUM($K28:$V28*$BK28:$BV28)*$AZ28</f>
        <v>0</v>
      </c>
      <c r="BG28" s="750">
        <f t="array" aca="1" ref="BG28" ca="1">SUM($K28:$V28*$BY28:$CJ28*$BK28:$BV28)*$AZ28*$BX28</f>
        <v>0</v>
      </c>
      <c r="BH28" s="750">
        <f t="array" aca="1" ref="BH28" ca="1">SUM($K28:$V28*$BY28:$CJ28*$BK28:$BV28)*(1-$BE28)*$AZ28*$BX28</f>
        <v>0</v>
      </c>
      <c r="BI28" s="754">
        <f t="shared" ca="1" si="22"/>
        <v>0</v>
      </c>
      <c r="BJ28" s="755" t="str">
        <f t="shared" ca="1" si="23"/>
        <v>Да</v>
      </c>
      <c r="BK28" s="756">
        <f t="shared" ca="1" si="24"/>
        <v>0.6</v>
      </c>
      <c r="BL28" s="757">
        <f t="shared" ca="1" si="24"/>
        <v>0.7</v>
      </c>
      <c r="BM28" s="757">
        <f t="shared" ca="1" si="24"/>
        <v>1</v>
      </c>
      <c r="BN28" s="757">
        <f t="shared" ca="1" si="24"/>
        <v>1</v>
      </c>
      <c r="BO28" s="757">
        <f t="shared" ca="1" si="24"/>
        <v>1</v>
      </c>
      <c r="BP28" s="757">
        <f t="shared" ca="1" si="24"/>
        <v>1</v>
      </c>
      <c r="BQ28" s="757">
        <f t="shared" ca="1" si="24"/>
        <v>1</v>
      </c>
      <c r="BR28" s="757">
        <f t="shared" ca="1" si="24"/>
        <v>1</v>
      </c>
      <c r="BS28" s="757">
        <f t="shared" ca="1" si="24"/>
        <v>1.4</v>
      </c>
      <c r="BT28" s="757">
        <f t="shared" ca="1" si="24"/>
        <v>1.4</v>
      </c>
      <c r="BU28" s="757">
        <f t="shared" ca="1" si="24"/>
        <v>1.4</v>
      </c>
      <c r="BV28" s="758">
        <f t="shared" ca="1" si="24"/>
        <v>1.4</v>
      </c>
      <c r="BW28" s="749">
        <f t="shared" si="6"/>
        <v>18</v>
      </c>
      <c r="BX28" s="759">
        <f>IF($AN28="Ya",100%,100%+extraDelayZ)</f>
        <v>1</v>
      </c>
      <c r="BY28" s="760">
        <f t="shared" ref="BY28" si="159">(1+AA28)</f>
        <v>1</v>
      </c>
      <c r="BZ28" s="761">
        <f t="shared" ref="BZ28" si="160">(1+AB28)</f>
        <v>1</v>
      </c>
      <c r="CA28" s="761">
        <f t="shared" ref="CA28" si="161">(1+AC28)</f>
        <v>1</v>
      </c>
      <c r="CB28" s="761">
        <f t="shared" ref="CB28" si="162">(1+AD28)</f>
        <v>1</v>
      </c>
      <c r="CC28" s="761">
        <f t="shared" ref="CC28" si="163">(1+AE28)</f>
        <v>1</v>
      </c>
      <c r="CD28" s="761">
        <f t="shared" ref="CD28" si="164">(1+AF28)</f>
        <v>1</v>
      </c>
      <c r="CE28" s="761">
        <f t="shared" ref="CE28" si="165">(1+AG28)</f>
        <v>1</v>
      </c>
      <c r="CF28" s="761">
        <f t="shared" ref="CF28" si="166">(1+AH28)</f>
        <v>1</v>
      </c>
      <c r="CG28" s="761">
        <f t="shared" ref="CG28" si="167">(1+AI28)</f>
        <v>1</v>
      </c>
      <c r="CH28" s="761">
        <f t="shared" ref="CH28" si="168">(1+AJ28)</f>
        <v>1</v>
      </c>
      <c r="CI28" s="761">
        <f t="shared" ref="CI28" si="169">(1+AK28)</f>
        <v>1</v>
      </c>
      <c r="CJ28" s="762">
        <f t="shared" ref="CJ28" si="170">(1+AL28)</f>
        <v>1</v>
      </c>
      <c r="CK28" s="763">
        <f t="array" ref="CK28">IF(ISERROR(SUM($K28:$V28*$BY28:$CJ28)/SUM($K28:$V28)),1,SUM($K28:$V28*$BY28:$CJ28)/SUM($K28:$V28))-1</f>
        <v>0</v>
      </c>
      <c r="CL28" s="726"/>
    </row>
    <row r="29" spans="1:90" s="727" customFormat="1" ht="12.75" hidden="1" outlineLevel="1" x14ac:dyDescent="0.2">
      <c r="A29" s="728"/>
      <c r="B29" s="729" t="str">
        <f t="shared" ca="1" si="7"/>
        <v>Авто, Все страницы, Таргетинг на Санкт-Петербург, 728х90</v>
      </c>
      <c r="C29" s="730" t="str">
        <f t="shared" ca="1" si="26"/>
        <v>х1000</v>
      </c>
      <c r="D29" s="731">
        <f t="shared" ca="1" si="8"/>
        <v>340</v>
      </c>
      <c r="E29" s="731">
        <f t="shared" ca="1" si="9"/>
        <v>340</v>
      </c>
      <c r="F29" s="731">
        <f t="shared" ca="1" si="10"/>
        <v>340</v>
      </c>
      <c r="G29" s="732">
        <f t="shared" ca="1" si="11"/>
        <v>340</v>
      </c>
      <c r="H29" s="732">
        <f t="shared" ca="1" si="12"/>
        <v>340</v>
      </c>
      <c r="I29" s="732">
        <f t="shared" ca="1" si="13"/>
        <v>0</v>
      </c>
      <c r="J29" s="733">
        <f t="shared" ca="1" si="40"/>
        <v>0</v>
      </c>
      <c r="K29" s="734"/>
      <c r="L29" s="735"/>
      <c r="M29" s="735"/>
      <c r="N29" s="735"/>
      <c r="O29" s="735"/>
      <c r="P29" s="735"/>
      <c r="Q29" s="735"/>
      <c r="R29" s="735"/>
      <c r="S29" s="735"/>
      <c r="T29" s="735"/>
      <c r="U29" s="735"/>
      <c r="V29" s="736"/>
      <c r="W29" s="732">
        <f t="shared" ca="1" si="1"/>
        <v>0</v>
      </c>
      <c r="X29" s="732"/>
      <c r="Y29" s="737"/>
      <c r="Z29" s="738">
        <f t="shared" ref="Z29" si="171">CK29</f>
        <v>0</v>
      </c>
      <c r="AA29" s="739"/>
      <c r="AB29" s="739"/>
      <c r="AC29" s="739"/>
      <c r="AD29" s="739"/>
      <c r="AE29" s="739"/>
      <c r="AF29" s="739"/>
      <c r="AG29" s="739"/>
      <c r="AH29" s="739"/>
      <c r="AI29" s="739"/>
      <c r="AJ29" s="739"/>
      <c r="AK29" s="739"/>
      <c r="AL29" s="739"/>
      <c r="AM29" s="740"/>
      <c r="AN29" s="741" t="s">
        <v>124</v>
      </c>
      <c r="AO29" s="741" t="str">
        <f t="shared" si="2"/>
        <v>Yandex.ru</v>
      </c>
      <c r="AP29" s="742">
        <f t="shared" si="3"/>
        <v>40</v>
      </c>
      <c r="AQ29" s="743" t="str">
        <f t="shared" ca="1" si="14"/>
        <v>Вкл.</v>
      </c>
      <c r="AR29" s="743" t="str">
        <f t="shared" ca="1" si="14"/>
        <v>Вкл.</v>
      </c>
      <c r="AS29" s="744">
        <v>0</v>
      </c>
      <c r="AT29" s="745">
        <v>0</v>
      </c>
      <c r="AU29" s="746">
        <f t="shared" ca="1" si="15"/>
        <v>340</v>
      </c>
      <c r="AV29" s="747">
        <f t="shared" ca="1" si="16"/>
        <v>340</v>
      </c>
      <c r="AW29" s="748">
        <f t="shared" ca="1" si="17"/>
        <v>340</v>
      </c>
      <c r="AX29" s="749"/>
      <c r="AY29" s="749"/>
      <c r="AZ29" s="750">
        <f t="shared" ca="1" si="18"/>
        <v>340</v>
      </c>
      <c r="BA29" s="751">
        <f t="shared" ca="1" si="19"/>
        <v>340</v>
      </c>
      <c r="BB29" s="750">
        <f t="shared" ca="1" si="20"/>
        <v>1</v>
      </c>
      <c r="BC29" s="752" t="str">
        <f t="shared" ca="1" si="20"/>
        <v>1000 контактов</v>
      </c>
      <c r="BD29" s="745" t="str">
        <f t="shared" ca="1" si="21"/>
        <v>х1000</v>
      </c>
      <c r="BE29" s="753">
        <f t="shared" ca="1" si="4"/>
        <v>0</v>
      </c>
      <c r="BF29" s="750">
        <f t="array" aca="1" ref="BF29" ca="1">SUM($K29:$V29*$BK29:$BV29)*$AZ29</f>
        <v>0</v>
      </c>
      <c r="BG29" s="750">
        <f t="array" aca="1" ref="BG29" ca="1">SUM($K29:$V29*$BY29:$CJ29*$BK29:$BV29)*$AZ29*$BX29</f>
        <v>0</v>
      </c>
      <c r="BH29" s="750">
        <f t="array" aca="1" ref="BH29" ca="1">SUM($K29:$V29*$BY29:$CJ29*$BK29:$BV29)*(1-$BE29)*$AZ29*$BX29</f>
        <v>0</v>
      </c>
      <c r="BI29" s="754">
        <f t="shared" ca="1" si="22"/>
        <v>0</v>
      </c>
      <c r="BJ29" s="755" t="str">
        <f t="shared" ca="1" si="23"/>
        <v>Да</v>
      </c>
      <c r="BK29" s="756">
        <f t="shared" ca="1" si="24"/>
        <v>0.6</v>
      </c>
      <c r="BL29" s="757">
        <f t="shared" ca="1" si="24"/>
        <v>0.7</v>
      </c>
      <c r="BM29" s="757">
        <f t="shared" ca="1" si="24"/>
        <v>1</v>
      </c>
      <c r="BN29" s="757">
        <f t="shared" ref="BN29:BV35" ca="1" si="172">IF($BJ29="Особ.",INDEX(INDIRECT(LOWER($AN29)&amp;"Season2"),BN$9),IF($BJ29="Да",INDEX(INDIRECT(LOWER($AN29)&amp;"Season"),BN$9),100%))</f>
        <v>1</v>
      </c>
      <c r="BO29" s="757">
        <f t="shared" ca="1" si="172"/>
        <v>1</v>
      </c>
      <c r="BP29" s="757">
        <f t="shared" ca="1" si="172"/>
        <v>1</v>
      </c>
      <c r="BQ29" s="757">
        <f t="shared" ca="1" si="172"/>
        <v>1</v>
      </c>
      <c r="BR29" s="757">
        <f t="shared" ca="1" si="172"/>
        <v>1</v>
      </c>
      <c r="BS29" s="757">
        <f t="shared" ca="1" si="172"/>
        <v>1.4</v>
      </c>
      <c r="BT29" s="757">
        <f t="shared" ca="1" si="172"/>
        <v>1.4</v>
      </c>
      <c r="BU29" s="757">
        <f t="shared" ca="1" si="172"/>
        <v>1.4</v>
      </c>
      <c r="BV29" s="758">
        <f t="shared" ca="1" si="172"/>
        <v>1.4</v>
      </c>
      <c r="BW29" s="749">
        <f t="shared" si="6"/>
        <v>19</v>
      </c>
      <c r="BX29" s="759">
        <f>IF($AN29="Ya",100%,100%+extraDelayZ)</f>
        <v>1</v>
      </c>
      <c r="BY29" s="760">
        <f t="shared" ref="BY29" si="173">(1+AA29)</f>
        <v>1</v>
      </c>
      <c r="BZ29" s="761">
        <f t="shared" ref="BZ29" si="174">(1+AB29)</f>
        <v>1</v>
      </c>
      <c r="CA29" s="761">
        <f t="shared" ref="CA29" si="175">(1+AC29)</f>
        <v>1</v>
      </c>
      <c r="CB29" s="761">
        <f t="shared" ref="CB29" si="176">(1+AD29)</f>
        <v>1</v>
      </c>
      <c r="CC29" s="761">
        <f t="shared" ref="CC29" si="177">(1+AE29)</f>
        <v>1</v>
      </c>
      <c r="CD29" s="761">
        <f t="shared" ref="CD29" si="178">(1+AF29)</f>
        <v>1</v>
      </c>
      <c r="CE29" s="761">
        <f t="shared" ref="CE29" si="179">(1+AG29)</f>
        <v>1</v>
      </c>
      <c r="CF29" s="761">
        <f t="shared" ref="CF29" si="180">(1+AH29)</f>
        <v>1</v>
      </c>
      <c r="CG29" s="761">
        <f t="shared" ref="CG29" si="181">(1+AI29)</f>
        <v>1</v>
      </c>
      <c r="CH29" s="761">
        <f t="shared" ref="CH29" si="182">(1+AJ29)</f>
        <v>1</v>
      </c>
      <c r="CI29" s="761">
        <f t="shared" ref="CI29" si="183">(1+AK29)</f>
        <v>1</v>
      </c>
      <c r="CJ29" s="762">
        <f t="shared" ref="CJ29" si="184">(1+AL29)</f>
        <v>1</v>
      </c>
      <c r="CK29" s="763">
        <f t="array" ref="CK29">IF(ISERROR(SUM($K29:$V29*$BY29:$CJ29)/SUM($K29:$V29)),1,SUM($K29:$V29*$BY29:$CJ29)/SUM($K29:$V29))-1</f>
        <v>0</v>
      </c>
      <c r="CL29" s="726"/>
    </row>
    <row r="30" spans="1:90" s="727" customFormat="1" ht="12.75" hidden="1" outlineLevel="1" x14ac:dyDescent="0.2">
      <c r="A30" s="728"/>
      <c r="B30" s="729" t="str">
        <f t="shared" ca="1" si="7"/>
        <v>Авто, Все страницы, Таргетинг на регионы России (кроме Москвы и Санкт-Петербурга), 728х90</v>
      </c>
      <c r="C30" s="730" t="str">
        <f t="shared" ca="1" si="26"/>
        <v>х1000</v>
      </c>
      <c r="D30" s="731">
        <f t="shared" ca="1" si="8"/>
        <v>300</v>
      </c>
      <c r="E30" s="731">
        <f t="shared" ca="1" si="9"/>
        <v>300</v>
      </c>
      <c r="F30" s="731">
        <f t="shared" ca="1" si="10"/>
        <v>300</v>
      </c>
      <c r="G30" s="732">
        <f t="shared" ca="1" si="11"/>
        <v>300</v>
      </c>
      <c r="H30" s="732">
        <f t="shared" ca="1" si="12"/>
        <v>300</v>
      </c>
      <c r="I30" s="732">
        <f t="shared" ca="1" si="13"/>
        <v>0</v>
      </c>
      <c r="J30" s="733">
        <f t="shared" ca="1" si="40"/>
        <v>0</v>
      </c>
      <c r="K30" s="734"/>
      <c r="L30" s="735"/>
      <c r="M30" s="735"/>
      <c r="N30" s="735"/>
      <c r="O30" s="735"/>
      <c r="P30" s="735"/>
      <c r="Q30" s="735"/>
      <c r="R30" s="735"/>
      <c r="S30" s="735"/>
      <c r="T30" s="735"/>
      <c r="U30" s="735"/>
      <c r="V30" s="736"/>
      <c r="W30" s="732">
        <f t="shared" ca="1" si="1"/>
        <v>0</v>
      </c>
      <c r="X30" s="732"/>
      <c r="Y30" s="737"/>
      <c r="Z30" s="738">
        <f t="shared" ref="Z30" si="185">CK30</f>
        <v>0</v>
      </c>
      <c r="AA30" s="739"/>
      <c r="AB30" s="739"/>
      <c r="AC30" s="739"/>
      <c r="AD30" s="739"/>
      <c r="AE30" s="739"/>
      <c r="AF30" s="739"/>
      <c r="AG30" s="739"/>
      <c r="AH30" s="739"/>
      <c r="AI30" s="739"/>
      <c r="AJ30" s="739"/>
      <c r="AK30" s="739"/>
      <c r="AL30" s="739"/>
      <c r="AM30" s="740"/>
      <c r="AN30" s="741" t="s">
        <v>124</v>
      </c>
      <c r="AO30" s="741" t="str">
        <f t="shared" si="2"/>
        <v>Yandex.ru</v>
      </c>
      <c r="AP30" s="742">
        <f t="shared" si="3"/>
        <v>40</v>
      </c>
      <c r="AQ30" s="743" t="str">
        <f t="shared" ca="1" si="14"/>
        <v>Вкл.</v>
      </c>
      <c r="AR30" s="743" t="str">
        <f t="shared" ca="1" si="14"/>
        <v>Вкл.</v>
      </c>
      <c r="AS30" s="744">
        <v>0</v>
      </c>
      <c r="AT30" s="745">
        <v>0</v>
      </c>
      <c r="AU30" s="746">
        <f t="shared" ca="1" si="15"/>
        <v>300</v>
      </c>
      <c r="AV30" s="747">
        <f t="shared" ca="1" si="16"/>
        <v>300</v>
      </c>
      <c r="AW30" s="748">
        <f t="shared" ca="1" si="17"/>
        <v>300</v>
      </c>
      <c r="AX30" s="749"/>
      <c r="AY30" s="749"/>
      <c r="AZ30" s="750">
        <f t="shared" ca="1" si="18"/>
        <v>300</v>
      </c>
      <c r="BA30" s="751">
        <f t="shared" ca="1" si="19"/>
        <v>300</v>
      </c>
      <c r="BB30" s="750">
        <f t="shared" ca="1" si="20"/>
        <v>1</v>
      </c>
      <c r="BC30" s="752" t="str">
        <f t="shared" ca="1" si="20"/>
        <v>1000 контактов</v>
      </c>
      <c r="BD30" s="745" t="str">
        <f t="shared" ca="1" si="21"/>
        <v>х1000</v>
      </c>
      <c r="BE30" s="753">
        <f t="shared" ca="1" si="4"/>
        <v>0</v>
      </c>
      <c r="BF30" s="750">
        <f t="array" aca="1" ref="BF30" ca="1">SUM($K30:$V30*$BK30:$BV30)*$AZ30</f>
        <v>0</v>
      </c>
      <c r="BG30" s="750">
        <f t="array" aca="1" ref="BG30" ca="1">SUM($K30:$V30*$BY30:$CJ30*$BK30:$BV30)*$AZ30*$BX30</f>
        <v>0</v>
      </c>
      <c r="BH30" s="750">
        <f t="array" aca="1" ref="BH30" ca="1">SUM($K30:$V30*$BY30:$CJ30*$BK30:$BV30)*(1-$BE30)*$AZ30*$BX30</f>
        <v>0</v>
      </c>
      <c r="BI30" s="754">
        <f t="shared" ca="1" si="22"/>
        <v>0</v>
      </c>
      <c r="BJ30" s="755" t="str">
        <f t="shared" ca="1" si="23"/>
        <v>Да</v>
      </c>
      <c r="BK30" s="756">
        <f t="shared" ref="BK30:BM35" ca="1" si="186">IF($BJ30="Особ.",INDEX(INDIRECT(LOWER($AN30)&amp;"Season2"),BK$9),IF($BJ30="Да",INDEX(INDIRECT(LOWER($AN30)&amp;"Season"),BK$9),100%))</f>
        <v>0.6</v>
      </c>
      <c r="BL30" s="757">
        <f t="shared" ca="1" si="186"/>
        <v>0.7</v>
      </c>
      <c r="BM30" s="757">
        <f t="shared" ca="1" si="186"/>
        <v>1</v>
      </c>
      <c r="BN30" s="757">
        <f t="shared" ca="1" si="172"/>
        <v>1</v>
      </c>
      <c r="BO30" s="757">
        <f t="shared" ca="1" si="172"/>
        <v>1</v>
      </c>
      <c r="BP30" s="757">
        <f t="shared" ca="1" si="172"/>
        <v>1</v>
      </c>
      <c r="BQ30" s="757">
        <f t="shared" ca="1" si="172"/>
        <v>1</v>
      </c>
      <c r="BR30" s="757">
        <f t="shared" ca="1" si="172"/>
        <v>1</v>
      </c>
      <c r="BS30" s="757">
        <f t="shared" ca="1" si="172"/>
        <v>1.4</v>
      </c>
      <c r="BT30" s="757">
        <f t="shared" ca="1" si="172"/>
        <v>1.4</v>
      </c>
      <c r="BU30" s="757">
        <f t="shared" ca="1" si="172"/>
        <v>1.4</v>
      </c>
      <c r="BV30" s="758">
        <f t="shared" ca="1" si="172"/>
        <v>1.4</v>
      </c>
      <c r="BW30" s="749">
        <f t="shared" si="6"/>
        <v>20</v>
      </c>
      <c r="BX30" s="759">
        <f>IF($AN30="Ya",100%,100%+extraDelayZ)</f>
        <v>1</v>
      </c>
      <c r="BY30" s="760">
        <f t="shared" ref="BY30" si="187">(1+AA30)</f>
        <v>1</v>
      </c>
      <c r="BZ30" s="761">
        <f t="shared" ref="BZ30" si="188">(1+AB30)</f>
        <v>1</v>
      </c>
      <c r="CA30" s="761">
        <f t="shared" ref="CA30" si="189">(1+AC30)</f>
        <v>1</v>
      </c>
      <c r="CB30" s="761">
        <f t="shared" ref="CB30" si="190">(1+AD30)</f>
        <v>1</v>
      </c>
      <c r="CC30" s="761">
        <f t="shared" ref="CC30" si="191">(1+AE30)</f>
        <v>1</v>
      </c>
      <c r="CD30" s="761">
        <f t="shared" ref="CD30" si="192">(1+AF30)</f>
        <v>1</v>
      </c>
      <c r="CE30" s="761">
        <f t="shared" ref="CE30" si="193">(1+AG30)</f>
        <v>1</v>
      </c>
      <c r="CF30" s="761">
        <f t="shared" ref="CF30" si="194">(1+AH30)</f>
        <v>1</v>
      </c>
      <c r="CG30" s="761">
        <f t="shared" ref="CG30" si="195">(1+AI30)</f>
        <v>1</v>
      </c>
      <c r="CH30" s="761">
        <f t="shared" ref="CH30" si="196">(1+AJ30)</f>
        <v>1</v>
      </c>
      <c r="CI30" s="761">
        <f t="shared" ref="CI30" si="197">(1+AK30)</f>
        <v>1</v>
      </c>
      <c r="CJ30" s="762">
        <f t="shared" ref="CJ30" si="198">(1+AL30)</f>
        <v>1</v>
      </c>
      <c r="CK30" s="763">
        <f t="array" ref="CK30">IF(ISERROR(SUM($K30:$V30*$BY30:$CJ30)/SUM($K30:$V30)),1,SUM($K30:$V30*$BY30:$CJ30)/SUM($K30:$V30))-1</f>
        <v>0</v>
      </c>
      <c r="CL30" s="726"/>
    </row>
    <row r="31" spans="1:90" s="727" customFormat="1" ht="12.75" hidden="1" outlineLevel="1" x14ac:dyDescent="0.2">
      <c r="A31" s="728"/>
      <c r="B31" s="729" t="str">
        <f t="shared" ca="1" si="7"/>
        <v>"Годовая программа - Главная страница", 728х90</v>
      </c>
      <c r="C31" s="730" t="str">
        <f t="shared" ca="1" si="26"/>
        <v>Пакет</v>
      </c>
      <c r="D31" s="731">
        <f t="shared" ca="1" si="8"/>
        <v>128</v>
      </c>
      <c r="E31" s="731">
        <f t="shared" ca="1" si="9"/>
        <v>128</v>
      </c>
      <c r="F31" s="731">
        <f t="shared" ca="1" si="10"/>
        <v>128</v>
      </c>
      <c r="G31" s="732">
        <f t="shared" ca="1" si="11"/>
        <v>115200000</v>
      </c>
      <c r="H31" s="732">
        <f t="shared" ca="1" si="12"/>
        <v>115200000</v>
      </c>
      <c r="I31" s="732">
        <f t="shared" ca="1" si="13"/>
        <v>0</v>
      </c>
      <c r="J31" s="733">
        <f t="shared" ca="1" si="40"/>
        <v>0</v>
      </c>
      <c r="K31" s="734"/>
      <c r="L31" s="735"/>
      <c r="M31" s="735"/>
      <c r="N31" s="735"/>
      <c r="O31" s="735"/>
      <c r="P31" s="735"/>
      <c r="Q31" s="735"/>
      <c r="R31" s="735"/>
      <c r="S31" s="735"/>
      <c r="T31" s="735"/>
      <c r="U31" s="735"/>
      <c r="V31" s="736"/>
      <c r="W31" s="732">
        <f t="shared" ca="1" si="1"/>
        <v>0</v>
      </c>
      <c r="X31" s="732"/>
      <c r="Y31" s="737"/>
      <c r="Z31" s="738">
        <f t="shared" ref="Z31" si="199">CK31</f>
        <v>0</v>
      </c>
      <c r="AA31" s="739"/>
      <c r="AB31" s="739"/>
      <c r="AC31" s="739"/>
      <c r="AD31" s="739"/>
      <c r="AE31" s="739"/>
      <c r="AF31" s="739"/>
      <c r="AG31" s="739"/>
      <c r="AH31" s="739"/>
      <c r="AI31" s="739"/>
      <c r="AJ31" s="739"/>
      <c r="AK31" s="739"/>
      <c r="AL31" s="739"/>
      <c r="AM31" s="740"/>
      <c r="AN31" s="741" t="s">
        <v>124</v>
      </c>
      <c r="AO31" s="741" t="str">
        <f t="shared" si="2"/>
        <v>Yandex.ru</v>
      </c>
      <c r="AP31" s="742">
        <f t="shared" si="3"/>
        <v>40</v>
      </c>
      <c r="AQ31" s="743" t="str">
        <f t="shared" ca="1" si="14"/>
        <v>-</v>
      </c>
      <c r="AR31" s="743" t="str">
        <f t="shared" ca="1" si="14"/>
        <v>-</v>
      </c>
      <c r="AS31" s="744">
        <v>0</v>
      </c>
      <c r="AT31" s="745">
        <v>0</v>
      </c>
      <c r="AU31" s="746">
        <f t="shared" ca="1" si="15"/>
        <v>128</v>
      </c>
      <c r="AV31" s="747">
        <f t="shared" ca="1" si="16"/>
        <v>128</v>
      </c>
      <c r="AW31" s="748">
        <f t="shared" ca="1" si="17"/>
        <v>128</v>
      </c>
      <c r="AX31" s="749"/>
      <c r="AY31" s="749"/>
      <c r="AZ31" s="750">
        <f t="shared" ca="1" si="18"/>
        <v>115200000</v>
      </c>
      <c r="BA31" s="751">
        <f t="shared" ca="1" si="19"/>
        <v>115200000</v>
      </c>
      <c r="BB31" s="750">
        <f t="shared" ca="1" si="20"/>
        <v>900000</v>
      </c>
      <c r="BC31" s="752" t="str">
        <f t="shared" ca="1" si="20"/>
        <v>Пакет</v>
      </c>
      <c r="BD31" s="745" t="str">
        <f t="shared" ca="1" si="21"/>
        <v>Пакет</v>
      </c>
      <c r="BE31" s="753">
        <f t="shared" ca="1" si="4"/>
        <v>0</v>
      </c>
      <c r="BF31" s="750">
        <f t="array" aca="1" ref="BF31" ca="1">SUM($K31:$V31*$BK31:$BV31)*$AZ31</f>
        <v>0</v>
      </c>
      <c r="BG31" s="750">
        <f t="array" aca="1" ref="BG31" ca="1">SUM($K31:$V31*$BY31:$CJ31*$BK31:$BV31)*$AZ31*$BX31</f>
        <v>0</v>
      </c>
      <c r="BH31" s="750">
        <f t="array" aca="1" ref="BH31" ca="1">SUM($K31:$V31*$BY31:$CJ31*$BK31:$BV31)*(1-$BE31)*$AZ31*$BX31</f>
        <v>0</v>
      </c>
      <c r="BI31" s="754">
        <f t="shared" ca="1" si="22"/>
        <v>0</v>
      </c>
      <c r="BJ31" s="755" t="str">
        <f t="shared" ca="1" si="23"/>
        <v>Нет</v>
      </c>
      <c r="BK31" s="756">
        <f t="shared" ca="1" si="186"/>
        <v>1</v>
      </c>
      <c r="BL31" s="757">
        <f t="shared" ca="1" si="186"/>
        <v>1</v>
      </c>
      <c r="BM31" s="757">
        <f t="shared" ca="1" si="186"/>
        <v>1</v>
      </c>
      <c r="BN31" s="757">
        <f t="shared" ca="1" si="172"/>
        <v>1</v>
      </c>
      <c r="BO31" s="757">
        <f t="shared" ca="1" si="172"/>
        <v>1</v>
      </c>
      <c r="BP31" s="757">
        <f t="shared" ca="1" si="172"/>
        <v>1</v>
      </c>
      <c r="BQ31" s="757">
        <f t="shared" ca="1" si="172"/>
        <v>1</v>
      </c>
      <c r="BR31" s="757">
        <f t="shared" ca="1" si="172"/>
        <v>1</v>
      </c>
      <c r="BS31" s="757">
        <f t="shared" ca="1" si="172"/>
        <v>1</v>
      </c>
      <c r="BT31" s="757">
        <f t="shared" ca="1" si="172"/>
        <v>1</v>
      </c>
      <c r="BU31" s="757">
        <f t="shared" ca="1" si="172"/>
        <v>1</v>
      </c>
      <c r="BV31" s="758">
        <f t="shared" ca="1" si="172"/>
        <v>1</v>
      </c>
      <c r="BW31" s="749">
        <f t="shared" si="6"/>
        <v>21</v>
      </c>
      <c r="BX31" s="759">
        <f>IF($AN31="Ya",100%,100%+extraDelayZ)</f>
        <v>1</v>
      </c>
      <c r="BY31" s="760">
        <f t="shared" ref="BY31" si="200">(1+AA31)</f>
        <v>1</v>
      </c>
      <c r="BZ31" s="761">
        <f t="shared" ref="BZ31" si="201">(1+AB31)</f>
        <v>1</v>
      </c>
      <c r="CA31" s="761">
        <f t="shared" ref="CA31" si="202">(1+AC31)</f>
        <v>1</v>
      </c>
      <c r="CB31" s="761">
        <f t="shared" ref="CB31" si="203">(1+AD31)</f>
        <v>1</v>
      </c>
      <c r="CC31" s="761">
        <f t="shared" ref="CC31" si="204">(1+AE31)</f>
        <v>1</v>
      </c>
      <c r="CD31" s="761">
        <f t="shared" ref="CD31" si="205">(1+AF31)</f>
        <v>1</v>
      </c>
      <c r="CE31" s="761">
        <f t="shared" ref="CE31" si="206">(1+AG31)</f>
        <v>1</v>
      </c>
      <c r="CF31" s="761">
        <f t="shared" ref="CF31" si="207">(1+AH31)</f>
        <v>1</v>
      </c>
      <c r="CG31" s="761">
        <f t="shared" ref="CG31" si="208">(1+AI31)</f>
        <v>1</v>
      </c>
      <c r="CH31" s="761">
        <f t="shared" ref="CH31" si="209">(1+AJ31)</f>
        <v>1</v>
      </c>
      <c r="CI31" s="761">
        <f t="shared" ref="CI31" si="210">(1+AK31)</f>
        <v>1</v>
      </c>
      <c r="CJ31" s="762">
        <f t="shared" ref="CJ31" si="211">(1+AL31)</f>
        <v>1</v>
      </c>
      <c r="CK31" s="763">
        <f t="array" ref="CK31">IF(ISERROR(SUM($K31:$V31*$BY31:$CJ31)/SUM($K31:$V31)),1,SUM($K31:$V31*$BY31:$CJ31)/SUM($K31:$V31))-1</f>
        <v>0</v>
      </c>
      <c r="CL31" s="726"/>
    </row>
    <row r="32" spans="1:90" s="727" customFormat="1" ht="12.75" hidden="1" outlineLevel="1" x14ac:dyDescent="0.2">
      <c r="A32" s="728"/>
      <c r="B32" s="729" t="str">
        <f t="shared" ca="1" si="7"/>
        <v>"Годовая программа - Почта", 240х400</v>
      </c>
      <c r="C32" s="730" t="str">
        <f t="shared" ca="1" si="26"/>
        <v>Пакет</v>
      </c>
      <c r="D32" s="731">
        <f t="shared" ca="1" si="8"/>
        <v>75</v>
      </c>
      <c r="E32" s="731">
        <f t="shared" ca="1" si="9"/>
        <v>75</v>
      </c>
      <c r="F32" s="731">
        <f t="shared" ca="1" si="10"/>
        <v>75</v>
      </c>
      <c r="G32" s="732">
        <f t="shared" ca="1" si="11"/>
        <v>15000000</v>
      </c>
      <c r="H32" s="732">
        <f t="shared" ca="1" si="12"/>
        <v>15000000</v>
      </c>
      <c r="I32" s="732">
        <f t="shared" ca="1" si="13"/>
        <v>0</v>
      </c>
      <c r="J32" s="733">
        <f t="shared" ca="1" si="40"/>
        <v>0</v>
      </c>
      <c r="K32" s="734"/>
      <c r="L32" s="735"/>
      <c r="M32" s="735"/>
      <c r="N32" s="735"/>
      <c r="O32" s="735"/>
      <c r="P32" s="735"/>
      <c r="Q32" s="735"/>
      <c r="R32" s="735"/>
      <c r="S32" s="735"/>
      <c r="T32" s="735"/>
      <c r="U32" s="735"/>
      <c r="V32" s="736"/>
      <c r="W32" s="732">
        <f t="shared" ca="1" si="1"/>
        <v>0</v>
      </c>
      <c r="X32" s="732"/>
      <c r="Y32" s="737"/>
      <c r="Z32" s="738">
        <f t="shared" ref="Z32" si="212">CK32</f>
        <v>0</v>
      </c>
      <c r="AA32" s="739"/>
      <c r="AB32" s="739"/>
      <c r="AC32" s="739"/>
      <c r="AD32" s="739"/>
      <c r="AE32" s="739"/>
      <c r="AF32" s="739"/>
      <c r="AG32" s="739"/>
      <c r="AH32" s="739"/>
      <c r="AI32" s="739"/>
      <c r="AJ32" s="739"/>
      <c r="AK32" s="739"/>
      <c r="AL32" s="739"/>
      <c r="AM32" s="740"/>
      <c r="AN32" s="741" t="s">
        <v>124</v>
      </c>
      <c r="AO32" s="741" t="str">
        <f t="shared" si="2"/>
        <v>Yandex.ru</v>
      </c>
      <c r="AP32" s="742">
        <f t="shared" si="3"/>
        <v>40</v>
      </c>
      <c r="AQ32" s="743" t="str">
        <f t="shared" ca="1" si="14"/>
        <v>-</v>
      </c>
      <c r="AR32" s="743" t="str">
        <f t="shared" ca="1" si="14"/>
        <v>-</v>
      </c>
      <c r="AS32" s="744">
        <v>0</v>
      </c>
      <c r="AT32" s="745">
        <v>0</v>
      </c>
      <c r="AU32" s="746">
        <f t="shared" ca="1" si="15"/>
        <v>75</v>
      </c>
      <c r="AV32" s="747">
        <f t="shared" ca="1" si="16"/>
        <v>75</v>
      </c>
      <c r="AW32" s="748">
        <f t="shared" ca="1" si="17"/>
        <v>75</v>
      </c>
      <c r="AX32" s="749"/>
      <c r="AY32" s="749"/>
      <c r="AZ32" s="750">
        <f t="shared" ca="1" si="18"/>
        <v>15000000</v>
      </c>
      <c r="BA32" s="751">
        <f t="shared" ca="1" si="19"/>
        <v>15000000</v>
      </c>
      <c r="BB32" s="750">
        <f t="shared" ca="1" si="20"/>
        <v>200000</v>
      </c>
      <c r="BC32" s="752" t="str">
        <f t="shared" ca="1" si="20"/>
        <v>Пакет</v>
      </c>
      <c r="BD32" s="745" t="str">
        <f t="shared" ca="1" si="21"/>
        <v>Пакет</v>
      </c>
      <c r="BE32" s="753">
        <f t="shared" ca="1" si="4"/>
        <v>0</v>
      </c>
      <c r="BF32" s="750">
        <f t="array" aca="1" ref="BF32" ca="1">SUM($K32:$V32*$BK32:$BV32)*$AZ32</f>
        <v>0</v>
      </c>
      <c r="BG32" s="750">
        <f t="array" aca="1" ref="BG32" ca="1">SUM($K32:$V32*$BY32:$CJ32*$BK32:$BV32)*$AZ32*$BX32</f>
        <v>0</v>
      </c>
      <c r="BH32" s="750">
        <f t="array" aca="1" ref="BH32" ca="1">SUM($K32:$V32*$BY32:$CJ32*$BK32:$BV32)*(1-$BE32)*$AZ32*$BX32</f>
        <v>0</v>
      </c>
      <c r="BI32" s="754">
        <f t="shared" ca="1" si="22"/>
        <v>0</v>
      </c>
      <c r="BJ32" s="755" t="str">
        <f t="shared" ca="1" si="23"/>
        <v>Нет</v>
      </c>
      <c r="BK32" s="756">
        <f t="shared" ca="1" si="186"/>
        <v>1</v>
      </c>
      <c r="BL32" s="757">
        <f t="shared" ca="1" si="186"/>
        <v>1</v>
      </c>
      <c r="BM32" s="757">
        <f t="shared" ca="1" si="186"/>
        <v>1</v>
      </c>
      <c r="BN32" s="757">
        <f t="shared" ca="1" si="172"/>
        <v>1</v>
      </c>
      <c r="BO32" s="757">
        <f t="shared" ca="1" si="172"/>
        <v>1</v>
      </c>
      <c r="BP32" s="757">
        <f t="shared" ca="1" si="172"/>
        <v>1</v>
      </c>
      <c r="BQ32" s="757">
        <f t="shared" ca="1" si="172"/>
        <v>1</v>
      </c>
      <c r="BR32" s="757">
        <f t="shared" ca="1" si="172"/>
        <v>1</v>
      </c>
      <c r="BS32" s="757">
        <f t="shared" ca="1" si="172"/>
        <v>1</v>
      </c>
      <c r="BT32" s="757">
        <f t="shared" ca="1" si="172"/>
        <v>1</v>
      </c>
      <c r="BU32" s="757">
        <f t="shared" ca="1" si="172"/>
        <v>1</v>
      </c>
      <c r="BV32" s="758">
        <f t="shared" ca="1" si="172"/>
        <v>1</v>
      </c>
      <c r="BW32" s="749">
        <f t="shared" si="6"/>
        <v>22</v>
      </c>
      <c r="BX32" s="759">
        <f>IF($AN32="Ya",100%,100%+extraDelayZ)</f>
        <v>1</v>
      </c>
      <c r="BY32" s="760">
        <f t="shared" ref="BY32" si="213">(1+AA32)</f>
        <v>1</v>
      </c>
      <c r="BZ32" s="761">
        <f t="shared" ref="BZ32" si="214">(1+AB32)</f>
        <v>1</v>
      </c>
      <c r="CA32" s="761">
        <f t="shared" ref="CA32" si="215">(1+AC32)</f>
        <v>1</v>
      </c>
      <c r="CB32" s="761">
        <f t="shared" ref="CB32" si="216">(1+AD32)</f>
        <v>1</v>
      </c>
      <c r="CC32" s="761">
        <f t="shared" ref="CC32" si="217">(1+AE32)</f>
        <v>1</v>
      </c>
      <c r="CD32" s="761">
        <f t="shared" ref="CD32" si="218">(1+AF32)</f>
        <v>1</v>
      </c>
      <c r="CE32" s="761">
        <f t="shared" ref="CE32" si="219">(1+AG32)</f>
        <v>1</v>
      </c>
      <c r="CF32" s="761">
        <f t="shared" ref="CF32" si="220">(1+AH32)</f>
        <v>1</v>
      </c>
      <c r="CG32" s="761">
        <f t="shared" ref="CG32" si="221">(1+AI32)</f>
        <v>1</v>
      </c>
      <c r="CH32" s="761">
        <f t="shared" ref="CH32" si="222">(1+AJ32)</f>
        <v>1</v>
      </c>
      <c r="CI32" s="761">
        <f t="shared" ref="CI32" si="223">(1+AK32)</f>
        <v>1</v>
      </c>
      <c r="CJ32" s="762">
        <f t="shared" ref="CJ32" si="224">(1+AL32)</f>
        <v>1</v>
      </c>
      <c r="CK32" s="763">
        <f t="array" ref="CK32">IF(ISERROR(SUM($K32:$V32*$BY32:$CJ32)/SUM($K32:$V32)),1,SUM($K32:$V32*$BY32:$CJ32)/SUM($K32:$V32))-1</f>
        <v>0</v>
      </c>
      <c r="CL32" s="726"/>
    </row>
    <row r="33" spans="1:90" s="727" customFormat="1" ht="12.75" hidden="1" outlineLevel="1" x14ac:dyDescent="0.2">
      <c r="A33" s="728"/>
      <c r="B33" s="729" t="str">
        <f t="shared" ca="1" si="7"/>
        <v>"Годовая программа - Новости", 240х400</v>
      </c>
      <c r="C33" s="730" t="str">
        <f t="shared" ca="1" si="26"/>
        <v>Пакет</v>
      </c>
      <c r="D33" s="731">
        <f t="shared" ca="1" si="8"/>
        <v>150</v>
      </c>
      <c r="E33" s="731">
        <f t="shared" ca="1" si="9"/>
        <v>150</v>
      </c>
      <c r="F33" s="731">
        <f t="shared" ca="1" si="10"/>
        <v>150</v>
      </c>
      <c r="G33" s="732">
        <f t="shared" ca="1" si="11"/>
        <v>13500000</v>
      </c>
      <c r="H33" s="732">
        <f t="shared" ca="1" si="12"/>
        <v>13500000</v>
      </c>
      <c r="I33" s="732">
        <f t="shared" ca="1" si="13"/>
        <v>0</v>
      </c>
      <c r="J33" s="733">
        <f t="shared" ca="1" si="40"/>
        <v>0</v>
      </c>
      <c r="K33" s="734"/>
      <c r="L33" s="735"/>
      <c r="M33" s="735"/>
      <c r="N33" s="735"/>
      <c r="O33" s="735"/>
      <c r="P33" s="735"/>
      <c r="Q33" s="735"/>
      <c r="R33" s="735"/>
      <c r="S33" s="735"/>
      <c r="T33" s="735"/>
      <c r="U33" s="735"/>
      <c r="V33" s="736"/>
      <c r="W33" s="732">
        <f t="shared" ca="1" si="1"/>
        <v>0</v>
      </c>
      <c r="X33" s="732"/>
      <c r="Y33" s="737"/>
      <c r="Z33" s="738">
        <f t="shared" ref="Z33" si="225">CK33</f>
        <v>0</v>
      </c>
      <c r="AA33" s="739"/>
      <c r="AB33" s="739"/>
      <c r="AC33" s="739"/>
      <c r="AD33" s="739"/>
      <c r="AE33" s="739"/>
      <c r="AF33" s="739"/>
      <c r="AG33" s="739"/>
      <c r="AH33" s="739"/>
      <c r="AI33" s="739"/>
      <c r="AJ33" s="739"/>
      <c r="AK33" s="739"/>
      <c r="AL33" s="739"/>
      <c r="AM33" s="740"/>
      <c r="AN33" s="741" t="s">
        <v>124</v>
      </c>
      <c r="AO33" s="741" t="str">
        <f t="shared" si="2"/>
        <v>Yandex.ru</v>
      </c>
      <c r="AP33" s="742">
        <f t="shared" si="3"/>
        <v>40</v>
      </c>
      <c r="AQ33" s="743" t="str">
        <f t="shared" ca="1" si="14"/>
        <v>-</v>
      </c>
      <c r="AR33" s="743" t="str">
        <f t="shared" ca="1" si="14"/>
        <v>-</v>
      </c>
      <c r="AS33" s="744">
        <v>0</v>
      </c>
      <c r="AT33" s="745">
        <v>0</v>
      </c>
      <c r="AU33" s="746">
        <f t="shared" ca="1" si="15"/>
        <v>150</v>
      </c>
      <c r="AV33" s="747">
        <f t="shared" ca="1" si="16"/>
        <v>150</v>
      </c>
      <c r="AW33" s="748">
        <f t="shared" ca="1" si="17"/>
        <v>150</v>
      </c>
      <c r="AX33" s="749"/>
      <c r="AY33" s="749"/>
      <c r="AZ33" s="750">
        <f t="shared" ca="1" si="18"/>
        <v>13500000</v>
      </c>
      <c r="BA33" s="751">
        <f t="shared" ca="1" si="19"/>
        <v>13500000</v>
      </c>
      <c r="BB33" s="750">
        <f t="shared" ca="1" si="20"/>
        <v>90000</v>
      </c>
      <c r="BC33" s="752" t="str">
        <f t="shared" ca="1" si="20"/>
        <v>Пакет</v>
      </c>
      <c r="BD33" s="745" t="str">
        <f t="shared" ca="1" si="21"/>
        <v>Пакет</v>
      </c>
      <c r="BE33" s="753">
        <f t="shared" ca="1" si="4"/>
        <v>0</v>
      </c>
      <c r="BF33" s="750">
        <f t="array" aca="1" ref="BF33" ca="1">SUM($K33:$V33*$BK33:$BV33)*$AZ33</f>
        <v>0</v>
      </c>
      <c r="BG33" s="750">
        <f t="array" aca="1" ref="BG33" ca="1">SUM($K33:$V33*$BY33:$CJ33*$BK33:$BV33)*$AZ33*$BX33</f>
        <v>0</v>
      </c>
      <c r="BH33" s="750">
        <f t="array" aca="1" ref="BH33" ca="1">SUM($K33:$V33*$BY33:$CJ33*$BK33:$BV33)*(1-$BE33)*$AZ33*$BX33</f>
        <v>0</v>
      </c>
      <c r="BI33" s="754">
        <f t="shared" ca="1" si="22"/>
        <v>0</v>
      </c>
      <c r="BJ33" s="755" t="str">
        <f t="shared" ca="1" si="23"/>
        <v>Нет</v>
      </c>
      <c r="BK33" s="756">
        <f t="shared" ca="1" si="186"/>
        <v>1</v>
      </c>
      <c r="BL33" s="757">
        <f t="shared" ca="1" si="186"/>
        <v>1</v>
      </c>
      <c r="BM33" s="757">
        <f t="shared" ca="1" si="186"/>
        <v>1</v>
      </c>
      <c r="BN33" s="757">
        <f t="shared" ca="1" si="172"/>
        <v>1</v>
      </c>
      <c r="BO33" s="757">
        <f t="shared" ca="1" si="172"/>
        <v>1</v>
      </c>
      <c r="BP33" s="757">
        <f t="shared" ca="1" si="172"/>
        <v>1</v>
      </c>
      <c r="BQ33" s="757">
        <f t="shared" ca="1" si="172"/>
        <v>1</v>
      </c>
      <c r="BR33" s="757">
        <f t="shared" ca="1" si="172"/>
        <v>1</v>
      </c>
      <c r="BS33" s="757">
        <f t="shared" ca="1" si="172"/>
        <v>1</v>
      </c>
      <c r="BT33" s="757">
        <f t="shared" ca="1" si="172"/>
        <v>1</v>
      </c>
      <c r="BU33" s="757">
        <f t="shared" ca="1" si="172"/>
        <v>1</v>
      </c>
      <c r="BV33" s="758">
        <f t="shared" ca="1" si="172"/>
        <v>1</v>
      </c>
      <c r="BW33" s="749">
        <f t="shared" si="6"/>
        <v>23</v>
      </c>
      <c r="BX33" s="759">
        <f>IF($AN33="Ya",100%,100%+extraDelayZ)</f>
        <v>1</v>
      </c>
      <c r="BY33" s="760">
        <f t="shared" ref="BY33" si="226">(1+AA33)</f>
        <v>1</v>
      </c>
      <c r="BZ33" s="761">
        <f t="shared" ref="BZ33" si="227">(1+AB33)</f>
        <v>1</v>
      </c>
      <c r="CA33" s="761">
        <f t="shared" ref="CA33" si="228">(1+AC33)</f>
        <v>1</v>
      </c>
      <c r="CB33" s="761">
        <f t="shared" ref="CB33" si="229">(1+AD33)</f>
        <v>1</v>
      </c>
      <c r="CC33" s="761">
        <f t="shared" ref="CC33" si="230">(1+AE33)</f>
        <v>1</v>
      </c>
      <c r="CD33" s="761">
        <f t="shared" ref="CD33" si="231">(1+AF33)</f>
        <v>1</v>
      </c>
      <c r="CE33" s="761">
        <f t="shared" ref="CE33" si="232">(1+AG33)</f>
        <v>1</v>
      </c>
      <c r="CF33" s="761">
        <f t="shared" ref="CF33" si="233">(1+AH33)</f>
        <v>1</v>
      </c>
      <c r="CG33" s="761">
        <f t="shared" ref="CG33" si="234">(1+AI33)</f>
        <v>1</v>
      </c>
      <c r="CH33" s="761">
        <f t="shared" ref="CH33" si="235">(1+AJ33)</f>
        <v>1</v>
      </c>
      <c r="CI33" s="761">
        <f t="shared" ref="CI33" si="236">(1+AK33)</f>
        <v>1</v>
      </c>
      <c r="CJ33" s="762">
        <f t="shared" ref="CJ33" si="237">(1+AL33)</f>
        <v>1</v>
      </c>
      <c r="CK33" s="763">
        <f t="array" ref="CK33">IF(ISERROR(SUM($K33:$V33*$BY33:$CJ33)/SUM($K33:$V33)),1,SUM($K33:$V33*$BY33:$CJ33)/SUM($K33:$V33))-1</f>
        <v>0</v>
      </c>
      <c r="CL33" s="726"/>
    </row>
    <row r="34" spans="1:90" s="727" customFormat="1" ht="12.75" hidden="1" outlineLevel="1" x14ac:dyDescent="0.2">
      <c r="A34" s="728"/>
      <c r="B34" s="729" t="str">
        <f t="shared" ca="1" si="7"/>
        <v>"Годовая программа - Авто", 728х90</v>
      </c>
      <c r="C34" s="730" t="str">
        <f t="shared" ca="1" si="26"/>
        <v>Пакет</v>
      </c>
      <c r="D34" s="731">
        <f t="shared" ca="1" si="8"/>
        <v>280</v>
      </c>
      <c r="E34" s="731">
        <f t="shared" ca="1" si="9"/>
        <v>280</v>
      </c>
      <c r="F34" s="731">
        <f t="shared" ca="1" si="10"/>
        <v>280</v>
      </c>
      <c r="G34" s="732">
        <f t="shared" ca="1" si="11"/>
        <v>5600000</v>
      </c>
      <c r="H34" s="732">
        <f t="shared" ca="1" si="12"/>
        <v>5600000</v>
      </c>
      <c r="I34" s="732">
        <f t="shared" ca="1" si="13"/>
        <v>0</v>
      </c>
      <c r="J34" s="733">
        <f t="shared" ca="1" si="40"/>
        <v>0</v>
      </c>
      <c r="K34" s="734"/>
      <c r="L34" s="735"/>
      <c r="M34" s="735"/>
      <c r="N34" s="735"/>
      <c r="O34" s="735"/>
      <c r="P34" s="735"/>
      <c r="Q34" s="735"/>
      <c r="R34" s="735"/>
      <c r="S34" s="735"/>
      <c r="T34" s="735"/>
      <c r="U34" s="735"/>
      <c r="V34" s="736"/>
      <c r="W34" s="732">
        <f t="shared" ca="1" si="1"/>
        <v>0</v>
      </c>
      <c r="X34" s="732"/>
      <c r="Y34" s="737"/>
      <c r="Z34" s="738">
        <f t="shared" ref="Z34" si="238">CK34</f>
        <v>0</v>
      </c>
      <c r="AA34" s="739"/>
      <c r="AB34" s="739"/>
      <c r="AC34" s="739"/>
      <c r="AD34" s="739"/>
      <c r="AE34" s="739"/>
      <c r="AF34" s="739"/>
      <c r="AG34" s="739"/>
      <c r="AH34" s="739"/>
      <c r="AI34" s="739"/>
      <c r="AJ34" s="739"/>
      <c r="AK34" s="739"/>
      <c r="AL34" s="739"/>
      <c r="AM34" s="740"/>
      <c r="AN34" s="741" t="s">
        <v>124</v>
      </c>
      <c r="AO34" s="741" t="str">
        <f t="shared" si="2"/>
        <v>Yandex.ru</v>
      </c>
      <c r="AP34" s="742">
        <f t="shared" si="3"/>
        <v>40</v>
      </c>
      <c r="AQ34" s="743" t="str">
        <f t="shared" ca="1" si="14"/>
        <v>-</v>
      </c>
      <c r="AR34" s="743" t="str">
        <f t="shared" ca="1" si="14"/>
        <v>-</v>
      </c>
      <c r="AS34" s="744">
        <v>0</v>
      </c>
      <c r="AT34" s="745">
        <v>0</v>
      </c>
      <c r="AU34" s="746">
        <f t="shared" ca="1" si="15"/>
        <v>280</v>
      </c>
      <c r="AV34" s="747">
        <f t="shared" ca="1" si="16"/>
        <v>280</v>
      </c>
      <c r="AW34" s="748">
        <f t="shared" ca="1" si="17"/>
        <v>280</v>
      </c>
      <c r="AX34" s="749"/>
      <c r="AY34" s="749"/>
      <c r="AZ34" s="750">
        <f t="shared" ca="1" si="18"/>
        <v>5600000</v>
      </c>
      <c r="BA34" s="751">
        <f t="shared" ca="1" si="19"/>
        <v>5600000</v>
      </c>
      <c r="BB34" s="750">
        <f t="shared" ca="1" si="20"/>
        <v>20000</v>
      </c>
      <c r="BC34" s="752" t="str">
        <f t="shared" ca="1" si="20"/>
        <v>Пакет</v>
      </c>
      <c r="BD34" s="745" t="str">
        <f t="shared" ca="1" si="21"/>
        <v>Пакет</v>
      </c>
      <c r="BE34" s="753">
        <f t="shared" ca="1" si="4"/>
        <v>0</v>
      </c>
      <c r="BF34" s="750">
        <f t="array" aca="1" ref="BF34" ca="1">SUM($K34:$V34*$BK34:$BV34)*$AZ34</f>
        <v>0</v>
      </c>
      <c r="BG34" s="750">
        <f t="array" aca="1" ref="BG34" ca="1">SUM($K34:$V34*$BY34:$CJ34*$BK34:$BV34)*$AZ34*$BX34</f>
        <v>0</v>
      </c>
      <c r="BH34" s="750">
        <f t="array" aca="1" ref="BH34" ca="1">SUM($K34:$V34*$BY34:$CJ34*$BK34:$BV34)*(1-$BE34)*$AZ34*$BX34</f>
        <v>0</v>
      </c>
      <c r="BI34" s="754">
        <f t="shared" ca="1" si="22"/>
        <v>0</v>
      </c>
      <c r="BJ34" s="755" t="str">
        <f t="shared" ca="1" si="23"/>
        <v>Нет</v>
      </c>
      <c r="BK34" s="756">
        <f t="shared" ca="1" si="186"/>
        <v>1</v>
      </c>
      <c r="BL34" s="757">
        <f t="shared" ca="1" si="186"/>
        <v>1</v>
      </c>
      <c r="BM34" s="757">
        <f t="shared" ca="1" si="186"/>
        <v>1</v>
      </c>
      <c r="BN34" s="757">
        <f t="shared" ca="1" si="172"/>
        <v>1</v>
      </c>
      <c r="BO34" s="757">
        <f t="shared" ca="1" si="172"/>
        <v>1</v>
      </c>
      <c r="BP34" s="757">
        <f t="shared" ca="1" si="172"/>
        <v>1</v>
      </c>
      <c r="BQ34" s="757">
        <f t="shared" ca="1" si="172"/>
        <v>1</v>
      </c>
      <c r="BR34" s="757">
        <f t="shared" ca="1" si="172"/>
        <v>1</v>
      </c>
      <c r="BS34" s="757">
        <f t="shared" ca="1" si="172"/>
        <v>1</v>
      </c>
      <c r="BT34" s="757">
        <f t="shared" ca="1" si="172"/>
        <v>1</v>
      </c>
      <c r="BU34" s="757">
        <f t="shared" ca="1" si="172"/>
        <v>1</v>
      </c>
      <c r="BV34" s="758">
        <f t="shared" ca="1" si="172"/>
        <v>1</v>
      </c>
      <c r="BW34" s="749">
        <f t="shared" si="6"/>
        <v>24</v>
      </c>
      <c r="BX34" s="759">
        <f>IF($AN34="Ya",100%,100%+extraDelayZ)</f>
        <v>1</v>
      </c>
      <c r="BY34" s="760">
        <f t="shared" ref="BY34" si="239">(1+AA34)</f>
        <v>1</v>
      </c>
      <c r="BZ34" s="761">
        <f t="shared" ref="BZ34" si="240">(1+AB34)</f>
        <v>1</v>
      </c>
      <c r="CA34" s="761">
        <f t="shared" ref="CA34" si="241">(1+AC34)</f>
        <v>1</v>
      </c>
      <c r="CB34" s="761">
        <f t="shared" ref="CB34" si="242">(1+AD34)</f>
        <v>1</v>
      </c>
      <c r="CC34" s="761">
        <f t="shared" ref="CC34" si="243">(1+AE34)</f>
        <v>1</v>
      </c>
      <c r="CD34" s="761">
        <f t="shared" ref="CD34" si="244">(1+AF34)</f>
        <v>1</v>
      </c>
      <c r="CE34" s="761">
        <f t="shared" ref="CE34" si="245">(1+AG34)</f>
        <v>1</v>
      </c>
      <c r="CF34" s="761">
        <f t="shared" ref="CF34" si="246">(1+AH34)</f>
        <v>1</v>
      </c>
      <c r="CG34" s="761">
        <f t="shared" ref="CG34" si="247">(1+AI34)</f>
        <v>1</v>
      </c>
      <c r="CH34" s="761">
        <f t="shared" ref="CH34" si="248">(1+AJ34)</f>
        <v>1</v>
      </c>
      <c r="CI34" s="761">
        <f t="shared" ref="CI34" si="249">(1+AK34)</f>
        <v>1</v>
      </c>
      <c r="CJ34" s="762">
        <f t="shared" ref="CJ34" si="250">(1+AL34)</f>
        <v>1</v>
      </c>
      <c r="CK34" s="763">
        <f t="array" ref="CK34">IF(ISERROR(SUM($K34:$V34*$BY34:$CJ34)/SUM($K34:$V34)),1,SUM($K34:$V34*$BY34:$CJ34)/SUM($K34:$V34))-1</f>
        <v>0</v>
      </c>
      <c r="CL34" s="726"/>
    </row>
    <row r="35" spans="1:90" s="727" customFormat="1" ht="12.75" hidden="1" outlineLevel="1" x14ac:dyDescent="0.2">
      <c r="A35" s="728"/>
      <c r="B35" s="729" t="str">
        <f t="shared" ca="1" si="7"/>
        <v>Карты и Пробки, Главная страница, 240х400</v>
      </c>
      <c r="C35" s="730" t="str">
        <f t="shared" ca="1" si="26"/>
        <v>х1000</v>
      </c>
      <c r="D35" s="731">
        <f t="shared" ca="1" si="8"/>
        <v>300</v>
      </c>
      <c r="E35" s="731">
        <f t="shared" ca="1" si="9"/>
        <v>300</v>
      </c>
      <c r="F35" s="731">
        <f t="shared" ca="1" si="10"/>
        <v>300</v>
      </c>
      <c r="G35" s="732">
        <f t="shared" ca="1" si="11"/>
        <v>300</v>
      </c>
      <c r="H35" s="732">
        <f t="shared" ca="1" si="12"/>
        <v>300</v>
      </c>
      <c r="I35" s="732">
        <f t="shared" ca="1" si="13"/>
        <v>0</v>
      </c>
      <c r="J35" s="733">
        <f t="shared" ca="1" si="40"/>
        <v>0</v>
      </c>
      <c r="K35" s="734"/>
      <c r="L35" s="735"/>
      <c r="M35" s="735"/>
      <c r="N35" s="735"/>
      <c r="O35" s="735"/>
      <c r="P35" s="735"/>
      <c r="Q35" s="735"/>
      <c r="R35" s="735"/>
      <c r="S35" s="735"/>
      <c r="T35" s="735"/>
      <c r="U35" s="735"/>
      <c r="V35" s="736"/>
      <c r="W35" s="732">
        <f t="shared" ca="1" si="1"/>
        <v>0</v>
      </c>
      <c r="X35" s="732"/>
      <c r="Y35" s="737"/>
      <c r="Z35" s="738">
        <f t="shared" ref="Z35" si="251">CK35</f>
        <v>0</v>
      </c>
      <c r="AA35" s="739"/>
      <c r="AB35" s="739"/>
      <c r="AC35" s="739"/>
      <c r="AD35" s="739"/>
      <c r="AE35" s="739"/>
      <c r="AF35" s="739"/>
      <c r="AG35" s="739"/>
      <c r="AH35" s="739"/>
      <c r="AI35" s="739"/>
      <c r="AJ35" s="739"/>
      <c r="AK35" s="739"/>
      <c r="AL35" s="739"/>
      <c r="AM35" s="740"/>
      <c r="AN35" s="741" t="s">
        <v>124</v>
      </c>
      <c r="AO35" s="741" t="str">
        <f t="shared" si="2"/>
        <v>Yandex.ru</v>
      </c>
      <c r="AP35" s="742">
        <f t="shared" si="3"/>
        <v>40</v>
      </c>
      <c r="AQ35" s="743">
        <f t="shared" ca="1" si="14"/>
        <v>0</v>
      </c>
      <c r="AR35" s="743" t="str">
        <f t="shared" ca="1" si="14"/>
        <v>Вкл.</v>
      </c>
      <c r="AS35" s="744">
        <v>0</v>
      </c>
      <c r="AT35" s="745">
        <v>0</v>
      </c>
      <c r="AU35" s="746">
        <f t="shared" ca="1" si="15"/>
        <v>300</v>
      </c>
      <c r="AV35" s="747">
        <f t="shared" ca="1" si="16"/>
        <v>300</v>
      </c>
      <c r="AW35" s="748">
        <f t="shared" ca="1" si="17"/>
        <v>300</v>
      </c>
      <c r="AX35" s="749"/>
      <c r="AY35" s="749"/>
      <c r="AZ35" s="750">
        <f t="shared" ca="1" si="18"/>
        <v>300</v>
      </c>
      <c r="BA35" s="751">
        <f t="shared" ca="1" si="19"/>
        <v>300</v>
      </c>
      <c r="BB35" s="750">
        <f t="shared" ca="1" si="20"/>
        <v>1</v>
      </c>
      <c r="BC35" s="752" t="str">
        <f t="shared" ca="1" si="20"/>
        <v>1000 контактов</v>
      </c>
      <c r="BD35" s="745" t="str">
        <f t="shared" ca="1" si="21"/>
        <v>х1000</v>
      </c>
      <c r="BE35" s="753">
        <f t="shared" ca="1" si="4"/>
        <v>0</v>
      </c>
      <c r="BF35" s="750">
        <f t="array" aca="1" ref="BF35" ca="1">SUM($K35:$V35*$BK35:$BV35)*$AZ35</f>
        <v>0</v>
      </c>
      <c r="BG35" s="750">
        <f t="array" aca="1" ref="BG35" ca="1">SUM($K35:$V35*$BY35:$CJ35*$BK35:$BV35)*$AZ35*$BX35</f>
        <v>0</v>
      </c>
      <c r="BH35" s="750">
        <f t="array" aca="1" ref="BH35" ca="1">SUM($K35:$V35*$BY35:$CJ35*$BK35:$BV35)*(1-$BE35)*$AZ35*$BX35</f>
        <v>0</v>
      </c>
      <c r="BI35" s="754">
        <f t="shared" ca="1" si="22"/>
        <v>0</v>
      </c>
      <c r="BJ35" s="755" t="str">
        <f t="shared" ca="1" si="23"/>
        <v>Да</v>
      </c>
      <c r="BK35" s="756">
        <f t="shared" ca="1" si="186"/>
        <v>0.6</v>
      </c>
      <c r="BL35" s="757">
        <f t="shared" ca="1" si="186"/>
        <v>0.7</v>
      </c>
      <c r="BM35" s="757">
        <f t="shared" ca="1" si="186"/>
        <v>1</v>
      </c>
      <c r="BN35" s="757">
        <f t="shared" ca="1" si="172"/>
        <v>1</v>
      </c>
      <c r="BO35" s="757">
        <f t="shared" ca="1" si="172"/>
        <v>1</v>
      </c>
      <c r="BP35" s="757">
        <f t="shared" ca="1" si="172"/>
        <v>1</v>
      </c>
      <c r="BQ35" s="757">
        <f t="shared" ca="1" si="172"/>
        <v>1</v>
      </c>
      <c r="BR35" s="757">
        <f t="shared" ca="1" si="172"/>
        <v>1</v>
      </c>
      <c r="BS35" s="757">
        <f t="shared" ca="1" si="172"/>
        <v>1.4</v>
      </c>
      <c r="BT35" s="757">
        <f t="shared" ca="1" si="172"/>
        <v>1.4</v>
      </c>
      <c r="BU35" s="757">
        <f t="shared" ca="1" si="172"/>
        <v>1.4</v>
      </c>
      <c r="BV35" s="758">
        <f t="shared" ca="1" si="172"/>
        <v>1.4</v>
      </c>
      <c r="BW35" s="749">
        <f t="shared" si="6"/>
        <v>25</v>
      </c>
      <c r="BX35" s="759">
        <f>IF($AN35="Ya",100%,100%+extraDelayZ)</f>
        <v>1</v>
      </c>
      <c r="BY35" s="760">
        <f t="shared" ref="BY35" si="252">(1+AA35)</f>
        <v>1</v>
      </c>
      <c r="BZ35" s="761">
        <f t="shared" ref="BZ35" si="253">(1+AB35)</f>
        <v>1</v>
      </c>
      <c r="CA35" s="761">
        <f t="shared" ref="CA35" si="254">(1+AC35)</f>
        <v>1</v>
      </c>
      <c r="CB35" s="761">
        <f t="shared" ref="CB35" si="255">(1+AD35)</f>
        <v>1</v>
      </c>
      <c r="CC35" s="761">
        <f t="shared" ref="CC35" si="256">(1+AE35)</f>
        <v>1</v>
      </c>
      <c r="CD35" s="761">
        <f t="shared" ref="CD35" si="257">(1+AF35)</f>
        <v>1</v>
      </c>
      <c r="CE35" s="761">
        <f t="shared" ref="CE35" si="258">(1+AG35)</f>
        <v>1</v>
      </c>
      <c r="CF35" s="761">
        <f t="shared" ref="CF35" si="259">(1+AH35)</f>
        <v>1</v>
      </c>
      <c r="CG35" s="761">
        <f t="shared" ref="CG35" si="260">(1+AI35)</f>
        <v>1</v>
      </c>
      <c r="CH35" s="761">
        <f t="shared" ref="CH35" si="261">(1+AJ35)</f>
        <v>1</v>
      </c>
      <c r="CI35" s="761">
        <f t="shared" ref="CI35" si="262">(1+AK35)</f>
        <v>1</v>
      </c>
      <c r="CJ35" s="762">
        <f t="shared" ref="CJ35" si="263">(1+AL35)</f>
        <v>1</v>
      </c>
      <c r="CK35" s="763">
        <f t="array" ref="CK35">IF(ISERROR(SUM($K35:$V35*$BY35:$CJ35)/SUM($K35:$V35)),1,SUM($K35:$V35*$BY35:$CJ35)/SUM($K35:$V35))-1</f>
        <v>0</v>
      </c>
      <c r="CL35" s="726"/>
    </row>
    <row r="36" spans="1:90" s="727" customFormat="1" ht="12.75" hidden="1" outlineLevel="1" x14ac:dyDescent="0.2">
      <c r="A36" s="728"/>
      <c r="B36" s="729" t="str">
        <f t="shared" ca="1" si="7"/>
        <v>Маркет, Первая страница, 200х300</v>
      </c>
      <c r="C36" s="730" t="str">
        <f t="shared" ca="1" si="26"/>
        <v>х1000</v>
      </c>
      <c r="D36" s="731">
        <f t="shared" ca="1" si="8"/>
        <v>450</v>
      </c>
      <c r="E36" s="731">
        <f t="shared" ca="1" si="9"/>
        <v>450</v>
      </c>
      <c r="F36" s="731">
        <f t="shared" ca="1" si="10"/>
        <v>450</v>
      </c>
      <c r="G36" s="732">
        <f t="shared" ca="1" si="11"/>
        <v>450</v>
      </c>
      <c r="H36" s="732">
        <f t="shared" ca="1" si="12"/>
        <v>450</v>
      </c>
      <c r="I36" s="732">
        <f t="shared" ca="1" si="13"/>
        <v>0</v>
      </c>
      <c r="J36" s="733">
        <f t="shared" ca="1" si="40"/>
        <v>0</v>
      </c>
      <c r="K36" s="734"/>
      <c r="L36" s="735"/>
      <c r="M36" s="735"/>
      <c r="N36" s="735"/>
      <c r="O36" s="735"/>
      <c r="P36" s="735"/>
      <c r="Q36" s="735"/>
      <c r="R36" s="735"/>
      <c r="S36" s="735"/>
      <c r="T36" s="735"/>
      <c r="U36" s="735"/>
      <c r="V36" s="736"/>
      <c r="W36" s="732">
        <f t="shared" ca="1" si="1"/>
        <v>0</v>
      </c>
      <c r="X36" s="732"/>
      <c r="Y36" s="737"/>
      <c r="Z36" s="738">
        <f t="shared" si="27"/>
        <v>0</v>
      </c>
      <c r="AA36" s="739"/>
      <c r="AB36" s="739"/>
      <c r="AC36" s="739"/>
      <c r="AD36" s="739"/>
      <c r="AE36" s="739"/>
      <c r="AF36" s="739"/>
      <c r="AG36" s="739"/>
      <c r="AH36" s="739"/>
      <c r="AI36" s="739"/>
      <c r="AJ36" s="739"/>
      <c r="AK36" s="739"/>
      <c r="AL36" s="739"/>
      <c r="AM36" s="740"/>
      <c r="AN36" s="741" t="s">
        <v>124</v>
      </c>
      <c r="AO36" s="741" t="str">
        <f t="shared" si="2"/>
        <v>Yandex.ru</v>
      </c>
      <c r="AP36" s="742">
        <f t="shared" si="3"/>
        <v>40</v>
      </c>
      <c r="AQ36" s="743" t="str">
        <f t="shared" ca="1" si="14"/>
        <v>-</v>
      </c>
      <c r="AR36" s="743" t="str">
        <f t="shared" ca="1" si="14"/>
        <v>-</v>
      </c>
      <c r="AS36" s="744">
        <v>0</v>
      </c>
      <c r="AT36" s="745">
        <v>0</v>
      </c>
      <c r="AU36" s="746">
        <f t="shared" ca="1" si="15"/>
        <v>450</v>
      </c>
      <c r="AV36" s="747">
        <f t="shared" ca="1" si="16"/>
        <v>450</v>
      </c>
      <c r="AW36" s="748">
        <f t="shared" ca="1" si="17"/>
        <v>450</v>
      </c>
      <c r="AX36" s="749"/>
      <c r="AY36" s="749"/>
      <c r="AZ36" s="750">
        <f t="shared" ca="1" si="18"/>
        <v>450</v>
      </c>
      <c r="BA36" s="751">
        <f t="shared" ca="1" si="19"/>
        <v>450</v>
      </c>
      <c r="BB36" s="750">
        <f t="shared" ca="1" si="20"/>
        <v>1</v>
      </c>
      <c r="BC36" s="752" t="str">
        <f t="shared" ca="1" si="20"/>
        <v>1000 контактов</v>
      </c>
      <c r="BD36" s="745" t="str">
        <f t="shared" ca="1" si="21"/>
        <v>х1000</v>
      </c>
      <c r="BE36" s="753">
        <f t="shared" ca="1" si="4"/>
        <v>0</v>
      </c>
      <c r="BF36" s="750">
        <f t="array" aca="1" ref="BF36" ca="1">SUM($K36:$V36*$BK36:$BV36)*$AZ36</f>
        <v>0</v>
      </c>
      <c r="BG36" s="750">
        <f t="array" aca="1" ref="BG36" ca="1">SUM($K36:$V36*$BY36:$CJ36*$BK36:$BV36)*$AZ36*$BX36</f>
        <v>0</v>
      </c>
      <c r="BH36" s="750">
        <f t="array" aca="1" ref="BH36" ca="1">SUM($K36:$V36*$BY36:$CJ36*$BK36:$BV36)*(1-$BE36)*$AZ36*$BX36</f>
        <v>0</v>
      </c>
      <c r="BI36" s="754">
        <f t="shared" ca="1" si="22"/>
        <v>0</v>
      </c>
      <c r="BJ36" s="755" t="str">
        <f t="shared" ca="1" si="23"/>
        <v>Да</v>
      </c>
      <c r="BK36" s="756">
        <f t="shared" ca="1" si="24"/>
        <v>0.6</v>
      </c>
      <c r="BL36" s="757">
        <f t="shared" ca="1" si="24"/>
        <v>0.7</v>
      </c>
      <c r="BM36" s="757">
        <f t="shared" ca="1" si="24"/>
        <v>1</v>
      </c>
      <c r="BN36" s="757">
        <f t="shared" ca="1" si="24"/>
        <v>1</v>
      </c>
      <c r="BO36" s="757">
        <f t="shared" ca="1" si="24"/>
        <v>1</v>
      </c>
      <c r="BP36" s="757">
        <f t="shared" ca="1" si="24"/>
        <v>1</v>
      </c>
      <c r="BQ36" s="757">
        <f t="shared" ca="1" si="24"/>
        <v>1</v>
      </c>
      <c r="BR36" s="757">
        <f t="shared" ca="1" si="24"/>
        <v>1</v>
      </c>
      <c r="BS36" s="757">
        <f t="shared" ca="1" si="24"/>
        <v>1.4</v>
      </c>
      <c r="BT36" s="757">
        <f t="shared" ca="1" si="24"/>
        <v>1.4</v>
      </c>
      <c r="BU36" s="757">
        <f t="shared" ca="1" si="24"/>
        <v>1.4</v>
      </c>
      <c r="BV36" s="758">
        <f t="shared" ca="1" si="24"/>
        <v>1.4</v>
      </c>
      <c r="BW36" s="749">
        <f t="shared" si="6"/>
        <v>26</v>
      </c>
      <c r="BX36" s="759">
        <f>IF($AN36="Ya",100%,100%+extraDelayZ)</f>
        <v>1</v>
      </c>
      <c r="BY36" s="760">
        <f t="shared" si="28"/>
        <v>1</v>
      </c>
      <c r="BZ36" s="761">
        <f t="shared" si="29"/>
        <v>1</v>
      </c>
      <c r="CA36" s="761">
        <f t="shared" si="30"/>
        <v>1</v>
      </c>
      <c r="CB36" s="761">
        <f t="shared" si="31"/>
        <v>1</v>
      </c>
      <c r="CC36" s="761">
        <f t="shared" si="32"/>
        <v>1</v>
      </c>
      <c r="CD36" s="761">
        <f t="shared" si="33"/>
        <v>1</v>
      </c>
      <c r="CE36" s="761">
        <f t="shared" si="34"/>
        <v>1</v>
      </c>
      <c r="CF36" s="761">
        <f t="shared" si="35"/>
        <v>1</v>
      </c>
      <c r="CG36" s="761">
        <f t="shared" si="36"/>
        <v>1</v>
      </c>
      <c r="CH36" s="761">
        <f t="shared" si="37"/>
        <v>1</v>
      </c>
      <c r="CI36" s="761">
        <f t="shared" si="38"/>
        <v>1</v>
      </c>
      <c r="CJ36" s="762">
        <f t="shared" si="39"/>
        <v>1</v>
      </c>
      <c r="CK36" s="763">
        <f t="array" ref="CK36">IF(ISERROR(SUM($K36:$V36*$BY36:$CJ36)/SUM($K36:$V36)),1,SUM($K36:$V36*$BY36:$CJ36)/SUM($K36:$V36))-1</f>
        <v>0</v>
      </c>
      <c r="CL36" s="726"/>
    </row>
    <row r="37" spans="1:90" s="727" customFormat="1" ht="12.75" hidden="1" outlineLevel="1" x14ac:dyDescent="0.2">
      <c r="A37" s="728"/>
      <c r="B37" s="729" t="str">
        <f t="shared" ca="1" si="7"/>
        <v>Маркет, Страницы каталога, 728х90</v>
      </c>
      <c r="C37" s="730" t="str">
        <f t="shared" ca="1" si="26"/>
        <v>х1000</v>
      </c>
      <c r="D37" s="731">
        <f t="shared" ca="1" si="8"/>
        <v>600</v>
      </c>
      <c r="E37" s="731">
        <f t="shared" ca="1" si="9"/>
        <v>600</v>
      </c>
      <c r="F37" s="731">
        <f t="shared" ca="1" si="10"/>
        <v>600</v>
      </c>
      <c r="G37" s="732">
        <f t="shared" ca="1" si="11"/>
        <v>600</v>
      </c>
      <c r="H37" s="732">
        <f t="shared" ca="1" si="12"/>
        <v>600</v>
      </c>
      <c r="I37" s="732">
        <f t="shared" ca="1" si="13"/>
        <v>0</v>
      </c>
      <c r="J37" s="733">
        <f t="shared" ca="1" si="40"/>
        <v>0</v>
      </c>
      <c r="K37" s="734"/>
      <c r="L37" s="735"/>
      <c r="M37" s="735"/>
      <c r="N37" s="735"/>
      <c r="O37" s="735"/>
      <c r="P37" s="735"/>
      <c r="Q37" s="735"/>
      <c r="R37" s="735"/>
      <c r="S37" s="735"/>
      <c r="T37" s="735"/>
      <c r="U37" s="735"/>
      <c r="V37" s="736"/>
      <c r="W37" s="732">
        <f t="shared" ca="1" si="1"/>
        <v>0</v>
      </c>
      <c r="X37" s="732"/>
      <c r="Y37" s="737"/>
      <c r="Z37" s="738">
        <f t="shared" si="27"/>
        <v>0</v>
      </c>
      <c r="AA37" s="739"/>
      <c r="AB37" s="739"/>
      <c r="AC37" s="739"/>
      <c r="AD37" s="739"/>
      <c r="AE37" s="739"/>
      <c r="AF37" s="739"/>
      <c r="AG37" s="739"/>
      <c r="AH37" s="739"/>
      <c r="AI37" s="739"/>
      <c r="AJ37" s="739"/>
      <c r="AK37" s="739"/>
      <c r="AL37" s="739"/>
      <c r="AM37" s="740"/>
      <c r="AN37" s="741" t="s">
        <v>124</v>
      </c>
      <c r="AO37" s="741" t="str">
        <f t="shared" si="2"/>
        <v>Yandex.ru</v>
      </c>
      <c r="AP37" s="742">
        <f t="shared" si="3"/>
        <v>40</v>
      </c>
      <c r="AQ37" s="743" t="str">
        <f t="shared" ca="1" si="14"/>
        <v>-</v>
      </c>
      <c r="AR37" s="743" t="str">
        <f t="shared" ca="1" si="14"/>
        <v>-</v>
      </c>
      <c r="AS37" s="744">
        <v>0</v>
      </c>
      <c r="AT37" s="745">
        <v>0</v>
      </c>
      <c r="AU37" s="746">
        <f t="shared" ca="1" si="15"/>
        <v>600</v>
      </c>
      <c r="AV37" s="747">
        <f t="shared" ca="1" si="16"/>
        <v>600</v>
      </c>
      <c r="AW37" s="748">
        <f t="shared" ca="1" si="17"/>
        <v>600</v>
      </c>
      <c r="AX37" s="749"/>
      <c r="AY37" s="749"/>
      <c r="AZ37" s="750">
        <f t="shared" ca="1" si="18"/>
        <v>600</v>
      </c>
      <c r="BA37" s="751">
        <f t="shared" ca="1" si="19"/>
        <v>600</v>
      </c>
      <c r="BB37" s="750">
        <f t="shared" ca="1" si="20"/>
        <v>1</v>
      </c>
      <c r="BC37" s="752" t="str">
        <f t="shared" ca="1" si="20"/>
        <v>1000 контактов</v>
      </c>
      <c r="BD37" s="745" t="str">
        <f t="shared" ca="1" si="21"/>
        <v>х1000</v>
      </c>
      <c r="BE37" s="753">
        <f t="shared" ca="1" si="4"/>
        <v>0</v>
      </c>
      <c r="BF37" s="750">
        <f t="array" aca="1" ref="BF37" ca="1">SUM($K37:$V37*$BK37:$BV37)*$AZ37</f>
        <v>0</v>
      </c>
      <c r="BG37" s="750">
        <f t="array" aca="1" ref="BG37" ca="1">SUM($K37:$V37*$BY37:$CJ37*$BK37:$BV37)*$AZ37*$BX37</f>
        <v>0</v>
      </c>
      <c r="BH37" s="750">
        <f t="array" aca="1" ref="BH37" ca="1">SUM($K37:$V37*$BY37:$CJ37*$BK37:$BV37)*(1-$BE37)*$AZ37*$BX37</f>
        <v>0</v>
      </c>
      <c r="BI37" s="754">
        <f t="shared" ca="1" si="22"/>
        <v>0</v>
      </c>
      <c r="BJ37" s="755" t="str">
        <f t="shared" ca="1" si="23"/>
        <v>Да</v>
      </c>
      <c r="BK37" s="756">
        <f t="shared" ca="1" si="24"/>
        <v>0.6</v>
      </c>
      <c r="BL37" s="757">
        <f t="shared" ca="1" si="24"/>
        <v>0.7</v>
      </c>
      <c r="BM37" s="757">
        <f t="shared" ca="1" si="24"/>
        <v>1</v>
      </c>
      <c r="BN37" s="757">
        <f t="shared" ca="1" si="24"/>
        <v>1</v>
      </c>
      <c r="BO37" s="757">
        <f t="shared" ca="1" si="24"/>
        <v>1</v>
      </c>
      <c r="BP37" s="757">
        <f t="shared" ca="1" si="24"/>
        <v>1</v>
      </c>
      <c r="BQ37" s="757">
        <f t="shared" ca="1" si="24"/>
        <v>1</v>
      </c>
      <c r="BR37" s="757">
        <f t="shared" ca="1" si="24"/>
        <v>1</v>
      </c>
      <c r="BS37" s="757">
        <f t="shared" ca="1" si="24"/>
        <v>1.4</v>
      </c>
      <c r="BT37" s="757">
        <f t="shared" ca="1" si="24"/>
        <v>1.4</v>
      </c>
      <c r="BU37" s="757">
        <f t="shared" ca="1" si="24"/>
        <v>1.4</v>
      </c>
      <c r="BV37" s="758">
        <f t="shared" ca="1" si="24"/>
        <v>1.4</v>
      </c>
      <c r="BW37" s="749">
        <f t="shared" si="6"/>
        <v>27</v>
      </c>
      <c r="BX37" s="759">
        <f>IF($AN37="Ya",100%,100%+extraDelayZ)</f>
        <v>1</v>
      </c>
      <c r="BY37" s="760">
        <f t="shared" si="28"/>
        <v>1</v>
      </c>
      <c r="BZ37" s="761">
        <f t="shared" si="29"/>
        <v>1</v>
      </c>
      <c r="CA37" s="761">
        <f t="shared" si="30"/>
        <v>1</v>
      </c>
      <c r="CB37" s="761">
        <f t="shared" si="31"/>
        <v>1</v>
      </c>
      <c r="CC37" s="761">
        <f t="shared" si="32"/>
        <v>1</v>
      </c>
      <c r="CD37" s="761">
        <f t="shared" si="33"/>
        <v>1</v>
      </c>
      <c r="CE37" s="761">
        <f t="shared" si="34"/>
        <v>1</v>
      </c>
      <c r="CF37" s="761">
        <f t="shared" si="35"/>
        <v>1</v>
      </c>
      <c r="CG37" s="761">
        <f t="shared" si="36"/>
        <v>1</v>
      </c>
      <c r="CH37" s="761">
        <f t="shared" si="37"/>
        <v>1</v>
      </c>
      <c r="CI37" s="761">
        <f t="shared" si="38"/>
        <v>1</v>
      </c>
      <c r="CJ37" s="762">
        <f t="shared" si="39"/>
        <v>1</v>
      </c>
      <c r="CK37" s="763">
        <f t="array" ref="CK37">IF(ISERROR(SUM($K37:$V37*$BY37:$CJ37)/SUM($K37:$V37)),1,SUM($K37:$V37*$BY37:$CJ37)/SUM($K37:$V37))-1</f>
        <v>0</v>
      </c>
      <c r="CL37" s="726"/>
    </row>
    <row r="38" spans="1:90" s="727" customFormat="1" ht="12.75" hidden="1" outlineLevel="1" x14ac:dyDescent="0.2">
      <c r="A38" s="728"/>
      <c r="B38" s="729" t="str">
        <f t="shared" ca="1" si="7"/>
        <v>Погода, Все страницы, Таргетинг на Россию, 300х250</v>
      </c>
      <c r="C38" s="730" t="str">
        <f t="shared" ca="1" si="26"/>
        <v>х1000</v>
      </c>
      <c r="D38" s="731">
        <f t="shared" ca="1" si="8"/>
        <v>250</v>
      </c>
      <c r="E38" s="731">
        <f t="shared" ca="1" si="9"/>
        <v>250</v>
      </c>
      <c r="F38" s="731">
        <f t="shared" ca="1" si="10"/>
        <v>250</v>
      </c>
      <c r="G38" s="732">
        <f t="shared" ca="1" si="11"/>
        <v>250</v>
      </c>
      <c r="H38" s="732">
        <f t="shared" ca="1" si="12"/>
        <v>250</v>
      </c>
      <c r="I38" s="732">
        <f t="shared" ca="1" si="13"/>
        <v>0</v>
      </c>
      <c r="J38" s="733">
        <f t="shared" ca="1" si="40"/>
        <v>0</v>
      </c>
      <c r="K38" s="734"/>
      <c r="L38" s="735"/>
      <c r="M38" s="735"/>
      <c r="N38" s="735"/>
      <c r="O38" s="735"/>
      <c r="P38" s="735"/>
      <c r="Q38" s="735"/>
      <c r="R38" s="735"/>
      <c r="S38" s="735"/>
      <c r="T38" s="735"/>
      <c r="U38" s="735"/>
      <c r="V38" s="736"/>
      <c r="W38" s="732">
        <f t="shared" ca="1" si="1"/>
        <v>0</v>
      </c>
      <c r="X38" s="732"/>
      <c r="Y38" s="737"/>
      <c r="Z38" s="738">
        <f t="shared" ref="Z38" si="264">CK38</f>
        <v>0</v>
      </c>
      <c r="AA38" s="739"/>
      <c r="AB38" s="739"/>
      <c r="AC38" s="739"/>
      <c r="AD38" s="739"/>
      <c r="AE38" s="739"/>
      <c r="AF38" s="739"/>
      <c r="AG38" s="739"/>
      <c r="AH38" s="739"/>
      <c r="AI38" s="739"/>
      <c r="AJ38" s="739"/>
      <c r="AK38" s="739"/>
      <c r="AL38" s="739"/>
      <c r="AM38" s="740"/>
      <c r="AN38" s="741" t="s">
        <v>124</v>
      </c>
      <c r="AO38" s="741" t="str">
        <f t="shared" si="2"/>
        <v>Yandex.ru</v>
      </c>
      <c r="AP38" s="742">
        <f t="shared" si="3"/>
        <v>40</v>
      </c>
      <c r="AQ38" s="743" t="str">
        <f t="shared" ca="1" si="14"/>
        <v>Вкл.</v>
      </c>
      <c r="AR38" s="743">
        <f t="shared" ca="1" si="14"/>
        <v>0</v>
      </c>
      <c r="AS38" s="744">
        <v>0</v>
      </c>
      <c r="AT38" s="745">
        <v>0</v>
      </c>
      <c r="AU38" s="746">
        <f t="shared" ca="1" si="15"/>
        <v>250</v>
      </c>
      <c r="AV38" s="747">
        <f t="shared" ca="1" si="16"/>
        <v>250</v>
      </c>
      <c r="AW38" s="748">
        <f t="shared" ca="1" si="17"/>
        <v>250</v>
      </c>
      <c r="AX38" s="749"/>
      <c r="AY38" s="749"/>
      <c r="AZ38" s="750">
        <f t="shared" ca="1" si="18"/>
        <v>250</v>
      </c>
      <c r="BA38" s="751">
        <f t="shared" ca="1" si="19"/>
        <v>250</v>
      </c>
      <c r="BB38" s="750">
        <f t="shared" ca="1" si="20"/>
        <v>1</v>
      </c>
      <c r="BC38" s="752" t="str">
        <f t="shared" ca="1" si="20"/>
        <v>1000 контактов</v>
      </c>
      <c r="BD38" s="745" t="str">
        <f t="shared" ca="1" si="21"/>
        <v>х1000</v>
      </c>
      <c r="BE38" s="753">
        <f t="shared" ca="1" si="4"/>
        <v>0</v>
      </c>
      <c r="BF38" s="750">
        <f t="array" aca="1" ref="BF38" ca="1">SUM($K38:$V38*$BK38:$BV38)*$AZ38</f>
        <v>0</v>
      </c>
      <c r="BG38" s="750">
        <f t="array" aca="1" ref="BG38" ca="1">SUM($K38:$V38*$BY38:$CJ38*$BK38:$BV38)*$AZ38*$BX38</f>
        <v>0</v>
      </c>
      <c r="BH38" s="750">
        <f t="array" aca="1" ref="BH38" ca="1">SUM($K38:$V38*$BY38:$CJ38*$BK38:$BV38)*(1-$BE38)*$AZ38*$BX38</f>
        <v>0</v>
      </c>
      <c r="BI38" s="754">
        <f t="shared" ca="1" si="22"/>
        <v>0</v>
      </c>
      <c r="BJ38" s="755" t="str">
        <f t="shared" ca="1" si="23"/>
        <v>Да</v>
      </c>
      <c r="BK38" s="756">
        <f t="shared" ca="1" si="24"/>
        <v>0.6</v>
      </c>
      <c r="BL38" s="757">
        <f t="shared" ca="1" si="24"/>
        <v>0.7</v>
      </c>
      <c r="BM38" s="757">
        <f t="shared" ca="1" si="24"/>
        <v>1</v>
      </c>
      <c r="BN38" s="757">
        <f t="shared" ca="1" si="24"/>
        <v>1</v>
      </c>
      <c r="BO38" s="757">
        <f t="shared" ca="1" si="24"/>
        <v>1</v>
      </c>
      <c r="BP38" s="757">
        <f t="shared" ca="1" si="24"/>
        <v>1</v>
      </c>
      <c r="BQ38" s="757">
        <f t="shared" ca="1" si="24"/>
        <v>1</v>
      </c>
      <c r="BR38" s="757">
        <f t="shared" ca="1" si="24"/>
        <v>1</v>
      </c>
      <c r="BS38" s="757">
        <f t="shared" ca="1" si="24"/>
        <v>1.4</v>
      </c>
      <c r="BT38" s="757">
        <f t="shared" ca="1" si="24"/>
        <v>1.4</v>
      </c>
      <c r="BU38" s="757">
        <f t="shared" ca="1" si="24"/>
        <v>1.4</v>
      </c>
      <c r="BV38" s="758">
        <f t="shared" ca="1" si="24"/>
        <v>1.4</v>
      </c>
      <c r="BW38" s="749">
        <f t="shared" si="6"/>
        <v>28</v>
      </c>
      <c r="BX38" s="759">
        <f>IF($AN38="Ya",100%,100%+extraDelayZ)</f>
        <v>1</v>
      </c>
      <c r="BY38" s="760">
        <f t="shared" ref="BY38" si="265">(1+AA38)</f>
        <v>1</v>
      </c>
      <c r="BZ38" s="761">
        <f t="shared" ref="BZ38" si="266">(1+AB38)</f>
        <v>1</v>
      </c>
      <c r="CA38" s="761">
        <f t="shared" ref="CA38" si="267">(1+AC38)</f>
        <v>1</v>
      </c>
      <c r="CB38" s="761">
        <f t="shared" ref="CB38" si="268">(1+AD38)</f>
        <v>1</v>
      </c>
      <c r="CC38" s="761">
        <f t="shared" ref="CC38" si="269">(1+AE38)</f>
        <v>1</v>
      </c>
      <c r="CD38" s="761">
        <f t="shared" ref="CD38" si="270">(1+AF38)</f>
        <v>1</v>
      </c>
      <c r="CE38" s="761">
        <f t="shared" ref="CE38" si="271">(1+AG38)</f>
        <v>1</v>
      </c>
      <c r="CF38" s="761">
        <f t="shared" ref="CF38" si="272">(1+AH38)</f>
        <v>1</v>
      </c>
      <c r="CG38" s="761">
        <f t="shared" ref="CG38" si="273">(1+AI38)</f>
        <v>1</v>
      </c>
      <c r="CH38" s="761">
        <f t="shared" ref="CH38" si="274">(1+AJ38)</f>
        <v>1</v>
      </c>
      <c r="CI38" s="761">
        <f t="shared" ref="CI38" si="275">(1+AK38)</f>
        <v>1</v>
      </c>
      <c r="CJ38" s="762">
        <f t="shared" ref="CJ38" si="276">(1+AL38)</f>
        <v>1</v>
      </c>
      <c r="CK38" s="763">
        <f t="array" ref="CK38">IF(ISERROR(SUM($K38:$V38*$BY38:$CJ38)/SUM($K38:$V38)),1,SUM($K38:$V38*$BY38:$CJ38)/SUM($K38:$V38))-1</f>
        <v>0</v>
      </c>
      <c r="CL38" s="726"/>
    </row>
    <row r="39" spans="1:90" s="727" customFormat="1" ht="12.75" hidden="1" outlineLevel="1" x14ac:dyDescent="0.2">
      <c r="A39" s="728"/>
      <c r="B39" s="729" t="str">
        <f t="shared" ca="1" si="7"/>
        <v>Погода, Все страницы, Таргетинг на Москву, 300х250</v>
      </c>
      <c r="C39" s="730" t="str">
        <f t="shared" ca="1" si="26"/>
        <v>х1000</v>
      </c>
      <c r="D39" s="731">
        <f t="shared" ca="1" si="8"/>
        <v>300</v>
      </c>
      <c r="E39" s="731">
        <f t="shared" ca="1" si="9"/>
        <v>300</v>
      </c>
      <c r="F39" s="731">
        <f t="shared" ca="1" si="10"/>
        <v>300</v>
      </c>
      <c r="G39" s="732">
        <f t="shared" ca="1" si="11"/>
        <v>300</v>
      </c>
      <c r="H39" s="732">
        <f t="shared" ca="1" si="12"/>
        <v>300</v>
      </c>
      <c r="I39" s="732">
        <f t="shared" ca="1" si="13"/>
        <v>0</v>
      </c>
      <c r="J39" s="733">
        <f t="shared" ca="1" si="40"/>
        <v>0</v>
      </c>
      <c r="K39" s="734"/>
      <c r="L39" s="735"/>
      <c r="M39" s="735"/>
      <c r="N39" s="735"/>
      <c r="O39" s="735"/>
      <c r="P39" s="735"/>
      <c r="Q39" s="735"/>
      <c r="R39" s="735"/>
      <c r="S39" s="735"/>
      <c r="T39" s="735"/>
      <c r="U39" s="735"/>
      <c r="V39" s="736"/>
      <c r="W39" s="732">
        <f t="shared" ca="1" si="1"/>
        <v>0</v>
      </c>
      <c r="X39" s="732"/>
      <c r="Y39" s="737"/>
      <c r="Z39" s="738">
        <f t="shared" si="27"/>
        <v>0</v>
      </c>
      <c r="AA39" s="739"/>
      <c r="AB39" s="739"/>
      <c r="AC39" s="739"/>
      <c r="AD39" s="739"/>
      <c r="AE39" s="739"/>
      <c r="AF39" s="739"/>
      <c r="AG39" s="739"/>
      <c r="AH39" s="739"/>
      <c r="AI39" s="739"/>
      <c r="AJ39" s="739"/>
      <c r="AK39" s="739"/>
      <c r="AL39" s="739"/>
      <c r="AM39" s="740"/>
      <c r="AN39" s="741" t="s">
        <v>124</v>
      </c>
      <c r="AO39" s="741" t="str">
        <f t="shared" si="2"/>
        <v>Yandex.ru</v>
      </c>
      <c r="AP39" s="742">
        <f t="shared" si="3"/>
        <v>40</v>
      </c>
      <c r="AQ39" s="743" t="str">
        <f t="shared" ca="1" si="14"/>
        <v>Вкл.</v>
      </c>
      <c r="AR39" s="743">
        <f t="shared" ca="1" si="14"/>
        <v>0</v>
      </c>
      <c r="AS39" s="744">
        <v>0</v>
      </c>
      <c r="AT39" s="745">
        <v>0</v>
      </c>
      <c r="AU39" s="746">
        <f t="shared" ca="1" si="15"/>
        <v>300</v>
      </c>
      <c r="AV39" s="747">
        <f t="shared" ca="1" si="16"/>
        <v>300</v>
      </c>
      <c r="AW39" s="748">
        <f t="shared" ca="1" si="17"/>
        <v>300</v>
      </c>
      <c r="AX39" s="749"/>
      <c r="AY39" s="749"/>
      <c r="AZ39" s="750">
        <f t="shared" ca="1" si="18"/>
        <v>300</v>
      </c>
      <c r="BA39" s="751">
        <f t="shared" ca="1" si="19"/>
        <v>300</v>
      </c>
      <c r="BB39" s="750">
        <f t="shared" ca="1" si="20"/>
        <v>1</v>
      </c>
      <c r="BC39" s="752" t="str">
        <f t="shared" ca="1" si="20"/>
        <v>1000 контактов</v>
      </c>
      <c r="BD39" s="745" t="str">
        <f t="shared" ca="1" si="21"/>
        <v>х1000</v>
      </c>
      <c r="BE39" s="753">
        <f t="shared" ca="1" si="4"/>
        <v>0</v>
      </c>
      <c r="BF39" s="750">
        <f t="array" aca="1" ref="BF39" ca="1">SUM($K39:$V39*$BK39:$BV39)*$AZ39</f>
        <v>0</v>
      </c>
      <c r="BG39" s="750">
        <f t="array" aca="1" ref="BG39" ca="1">SUM($K39:$V39*$BY39:$CJ39*$BK39:$BV39)*$AZ39*$BX39</f>
        <v>0</v>
      </c>
      <c r="BH39" s="750">
        <f t="array" aca="1" ref="BH39" ca="1">SUM($K39:$V39*$BY39:$CJ39*$BK39:$BV39)*(1-$BE39)*$AZ39*$BX39</f>
        <v>0</v>
      </c>
      <c r="BI39" s="754">
        <f t="shared" ca="1" si="22"/>
        <v>0</v>
      </c>
      <c r="BJ39" s="755" t="str">
        <f t="shared" ca="1" si="23"/>
        <v>Да</v>
      </c>
      <c r="BK39" s="756">
        <f t="shared" ref="BK39:BV50" ca="1" si="277">IF($BJ39="Особ.",INDEX(INDIRECT(LOWER($AN39)&amp;"Season2"),BK$9),IF($BJ39="Да",INDEX(INDIRECT(LOWER($AN39)&amp;"Season"),BK$9),100%))</f>
        <v>0.6</v>
      </c>
      <c r="BL39" s="757">
        <f t="shared" ca="1" si="277"/>
        <v>0.7</v>
      </c>
      <c r="BM39" s="757">
        <f t="shared" ca="1" si="277"/>
        <v>1</v>
      </c>
      <c r="BN39" s="757">
        <f t="shared" ca="1" si="277"/>
        <v>1</v>
      </c>
      <c r="BO39" s="757">
        <f t="shared" ca="1" si="277"/>
        <v>1</v>
      </c>
      <c r="BP39" s="757">
        <f t="shared" ca="1" si="277"/>
        <v>1</v>
      </c>
      <c r="BQ39" s="757">
        <f t="shared" ca="1" si="277"/>
        <v>1</v>
      </c>
      <c r="BR39" s="757">
        <f t="shared" ca="1" si="277"/>
        <v>1</v>
      </c>
      <c r="BS39" s="757">
        <f t="shared" ca="1" si="277"/>
        <v>1.4</v>
      </c>
      <c r="BT39" s="757">
        <f t="shared" ca="1" si="277"/>
        <v>1.4</v>
      </c>
      <c r="BU39" s="757">
        <f t="shared" ca="1" si="277"/>
        <v>1.4</v>
      </c>
      <c r="BV39" s="758">
        <f t="shared" ca="1" si="277"/>
        <v>1.4</v>
      </c>
      <c r="BW39" s="749">
        <f t="shared" si="6"/>
        <v>29</v>
      </c>
      <c r="BX39" s="759">
        <f>IF($AN39="Ya",100%,100%+extraDelayZ)</f>
        <v>1</v>
      </c>
      <c r="BY39" s="760">
        <f t="shared" si="28"/>
        <v>1</v>
      </c>
      <c r="BZ39" s="761">
        <f t="shared" si="29"/>
        <v>1</v>
      </c>
      <c r="CA39" s="761">
        <f t="shared" si="30"/>
        <v>1</v>
      </c>
      <c r="CB39" s="761">
        <f t="shared" si="31"/>
        <v>1</v>
      </c>
      <c r="CC39" s="761">
        <f t="shared" si="32"/>
        <v>1</v>
      </c>
      <c r="CD39" s="761">
        <f t="shared" si="33"/>
        <v>1</v>
      </c>
      <c r="CE39" s="761">
        <f t="shared" si="34"/>
        <v>1</v>
      </c>
      <c r="CF39" s="761">
        <f t="shared" si="35"/>
        <v>1</v>
      </c>
      <c r="CG39" s="761">
        <f t="shared" si="36"/>
        <v>1</v>
      </c>
      <c r="CH39" s="761">
        <f t="shared" si="37"/>
        <v>1</v>
      </c>
      <c r="CI39" s="761">
        <f t="shared" si="38"/>
        <v>1</v>
      </c>
      <c r="CJ39" s="762">
        <f t="shared" si="39"/>
        <v>1</v>
      </c>
      <c r="CK39" s="763">
        <f t="array" ref="CK39">IF(ISERROR(SUM($K39:$V39*$BY39:$CJ39)/SUM($K39:$V39)),1,SUM($K39:$V39*$BY39:$CJ39)/SUM($K39:$V39))-1</f>
        <v>0</v>
      </c>
      <c r="CL39" s="726"/>
    </row>
    <row r="40" spans="1:90" s="727" customFormat="1" ht="12.75" hidden="1" outlineLevel="1" x14ac:dyDescent="0.2">
      <c r="A40" s="728"/>
      <c r="B40" s="729" t="str">
        <f t="shared" ca="1" si="7"/>
        <v>Погода, Все страницы, Таргетинг на Санкт-Петербург, 300х250</v>
      </c>
      <c r="C40" s="730" t="str">
        <f t="shared" ca="1" si="26"/>
        <v>х1000</v>
      </c>
      <c r="D40" s="731">
        <f t="shared" ca="1" si="8"/>
        <v>275</v>
      </c>
      <c r="E40" s="731">
        <f t="shared" ca="1" si="9"/>
        <v>275</v>
      </c>
      <c r="F40" s="731">
        <f t="shared" ca="1" si="10"/>
        <v>275</v>
      </c>
      <c r="G40" s="732">
        <f t="shared" ca="1" si="11"/>
        <v>275</v>
      </c>
      <c r="H40" s="732">
        <f t="shared" ca="1" si="12"/>
        <v>275</v>
      </c>
      <c r="I40" s="732">
        <f t="shared" ca="1" si="13"/>
        <v>0</v>
      </c>
      <c r="J40" s="733">
        <f t="shared" ca="1" si="40"/>
        <v>0</v>
      </c>
      <c r="K40" s="734"/>
      <c r="L40" s="735"/>
      <c r="M40" s="735"/>
      <c r="N40" s="735"/>
      <c r="O40" s="735"/>
      <c r="P40" s="735"/>
      <c r="Q40" s="735"/>
      <c r="R40" s="735"/>
      <c r="S40" s="735"/>
      <c r="T40" s="735"/>
      <c r="U40" s="735"/>
      <c r="V40" s="736"/>
      <c r="W40" s="732">
        <f t="shared" ca="1" si="1"/>
        <v>0</v>
      </c>
      <c r="X40" s="732"/>
      <c r="Y40" s="737"/>
      <c r="Z40" s="738">
        <f t="shared" ref="Z40" si="278">CK40</f>
        <v>0</v>
      </c>
      <c r="AA40" s="739"/>
      <c r="AB40" s="739"/>
      <c r="AC40" s="739"/>
      <c r="AD40" s="739"/>
      <c r="AE40" s="739"/>
      <c r="AF40" s="739"/>
      <c r="AG40" s="739"/>
      <c r="AH40" s="739"/>
      <c r="AI40" s="739"/>
      <c r="AJ40" s="739"/>
      <c r="AK40" s="739"/>
      <c r="AL40" s="739"/>
      <c r="AM40" s="740"/>
      <c r="AN40" s="741" t="s">
        <v>124</v>
      </c>
      <c r="AO40" s="741" t="str">
        <f t="shared" si="2"/>
        <v>Yandex.ru</v>
      </c>
      <c r="AP40" s="742">
        <f t="shared" si="3"/>
        <v>40</v>
      </c>
      <c r="AQ40" s="743" t="str">
        <f t="shared" ca="1" si="14"/>
        <v>Вкл.</v>
      </c>
      <c r="AR40" s="743">
        <f t="shared" ca="1" si="14"/>
        <v>0</v>
      </c>
      <c r="AS40" s="744">
        <v>0</v>
      </c>
      <c r="AT40" s="745">
        <v>0</v>
      </c>
      <c r="AU40" s="746">
        <f t="shared" ca="1" si="15"/>
        <v>275</v>
      </c>
      <c r="AV40" s="747">
        <f t="shared" ca="1" si="16"/>
        <v>275</v>
      </c>
      <c r="AW40" s="748">
        <f t="shared" ca="1" si="17"/>
        <v>275</v>
      </c>
      <c r="AX40" s="749"/>
      <c r="AY40" s="749"/>
      <c r="AZ40" s="750">
        <f t="shared" ca="1" si="18"/>
        <v>275</v>
      </c>
      <c r="BA40" s="751">
        <f t="shared" ca="1" si="19"/>
        <v>275</v>
      </c>
      <c r="BB40" s="750">
        <f t="shared" ca="1" si="20"/>
        <v>1</v>
      </c>
      <c r="BC40" s="752" t="str">
        <f t="shared" ca="1" si="20"/>
        <v>1000 контактов</v>
      </c>
      <c r="BD40" s="745" t="str">
        <f t="shared" ca="1" si="21"/>
        <v>х1000</v>
      </c>
      <c r="BE40" s="753">
        <f t="shared" ca="1" si="4"/>
        <v>0</v>
      </c>
      <c r="BF40" s="750">
        <f t="array" aca="1" ref="BF40" ca="1">SUM($K40:$V40*$BK40:$BV40)*$AZ40</f>
        <v>0</v>
      </c>
      <c r="BG40" s="750">
        <f t="array" aca="1" ref="BG40" ca="1">SUM($K40:$V40*$BY40:$CJ40*$BK40:$BV40)*$AZ40*$BX40</f>
        <v>0</v>
      </c>
      <c r="BH40" s="750">
        <f t="array" aca="1" ref="BH40" ca="1">SUM($K40:$V40*$BY40:$CJ40*$BK40:$BV40)*(1-$BE40)*$AZ40*$BX40</f>
        <v>0</v>
      </c>
      <c r="BI40" s="754">
        <f t="shared" ca="1" si="22"/>
        <v>0</v>
      </c>
      <c r="BJ40" s="755" t="str">
        <f t="shared" ca="1" si="23"/>
        <v>Да</v>
      </c>
      <c r="BK40" s="756">
        <f t="shared" ca="1" si="277"/>
        <v>0.6</v>
      </c>
      <c r="BL40" s="757">
        <f t="shared" ca="1" si="277"/>
        <v>0.7</v>
      </c>
      <c r="BM40" s="757">
        <f t="shared" ca="1" si="277"/>
        <v>1</v>
      </c>
      <c r="BN40" s="757">
        <f t="shared" ca="1" si="277"/>
        <v>1</v>
      </c>
      <c r="BO40" s="757">
        <f t="shared" ca="1" si="277"/>
        <v>1</v>
      </c>
      <c r="BP40" s="757">
        <f t="shared" ca="1" si="277"/>
        <v>1</v>
      </c>
      <c r="BQ40" s="757">
        <f t="shared" ca="1" si="277"/>
        <v>1</v>
      </c>
      <c r="BR40" s="757">
        <f t="shared" ca="1" si="277"/>
        <v>1</v>
      </c>
      <c r="BS40" s="757">
        <f t="shared" ca="1" si="277"/>
        <v>1.4</v>
      </c>
      <c r="BT40" s="757">
        <f t="shared" ca="1" si="277"/>
        <v>1.4</v>
      </c>
      <c r="BU40" s="757">
        <f t="shared" ca="1" si="277"/>
        <v>1.4</v>
      </c>
      <c r="BV40" s="758">
        <f t="shared" ca="1" si="277"/>
        <v>1.4</v>
      </c>
      <c r="BW40" s="749">
        <f t="shared" si="6"/>
        <v>30</v>
      </c>
      <c r="BX40" s="759">
        <f>IF($AN40="Ya",100%,100%+extraDelayZ)</f>
        <v>1</v>
      </c>
      <c r="BY40" s="760">
        <f t="shared" ref="BY40" si="279">(1+AA40)</f>
        <v>1</v>
      </c>
      <c r="BZ40" s="761">
        <f t="shared" ref="BZ40" si="280">(1+AB40)</f>
        <v>1</v>
      </c>
      <c r="CA40" s="761">
        <f t="shared" ref="CA40" si="281">(1+AC40)</f>
        <v>1</v>
      </c>
      <c r="CB40" s="761">
        <f t="shared" ref="CB40" si="282">(1+AD40)</f>
        <v>1</v>
      </c>
      <c r="CC40" s="761">
        <f t="shared" ref="CC40" si="283">(1+AE40)</f>
        <v>1</v>
      </c>
      <c r="CD40" s="761">
        <f t="shared" ref="CD40" si="284">(1+AF40)</f>
        <v>1</v>
      </c>
      <c r="CE40" s="761">
        <f t="shared" ref="CE40" si="285">(1+AG40)</f>
        <v>1</v>
      </c>
      <c r="CF40" s="761">
        <f t="shared" ref="CF40" si="286">(1+AH40)</f>
        <v>1</v>
      </c>
      <c r="CG40" s="761">
        <f t="shared" ref="CG40" si="287">(1+AI40)</f>
        <v>1</v>
      </c>
      <c r="CH40" s="761">
        <f t="shared" ref="CH40" si="288">(1+AJ40)</f>
        <v>1</v>
      </c>
      <c r="CI40" s="761">
        <f t="shared" ref="CI40" si="289">(1+AK40)</f>
        <v>1</v>
      </c>
      <c r="CJ40" s="762">
        <f t="shared" ref="CJ40" si="290">(1+AL40)</f>
        <v>1</v>
      </c>
      <c r="CK40" s="763">
        <f t="array" ref="CK40">IF(ISERROR(SUM($K40:$V40*$BY40:$CJ40)/SUM($K40:$V40)),1,SUM($K40:$V40*$BY40:$CJ40)/SUM($K40:$V40))-1</f>
        <v>0</v>
      </c>
      <c r="CL40" s="726"/>
    </row>
    <row r="41" spans="1:90" s="727" customFormat="1" ht="12.75" hidden="1" outlineLevel="1" x14ac:dyDescent="0.2">
      <c r="A41" s="728"/>
      <c r="B41" s="729" t="str">
        <f t="shared" ca="1" si="7"/>
        <v>Погода, Все страницы, Таргетинг на регионы России (кроме Москвы и Санкт-Петербурга), 300х250</v>
      </c>
      <c r="C41" s="730" t="str">
        <f t="shared" ca="1" si="26"/>
        <v>х1000</v>
      </c>
      <c r="D41" s="731">
        <f t="shared" ca="1" si="8"/>
        <v>250</v>
      </c>
      <c r="E41" s="731">
        <f t="shared" ca="1" si="9"/>
        <v>250</v>
      </c>
      <c r="F41" s="731">
        <f t="shared" ca="1" si="10"/>
        <v>250</v>
      </c>
      <c r="G41" s="732">
        <f t="shared" ca="1" si="11"/>
        <v>250</v>
      </c>
      <c r="H41" s="732">
        <f t="shared" ca="1" si="12"/>
        <v>250</v>
      </c>
      <c r="I41" s="732">
        <f t="shared" ca="1" si="13"/>
        <v>0</v>
      </c>
      <c r="J41" s="733">
        <f t="shared" ca="1" si="40"/>
        <v>0</v>
      </c>
      <c r="K41" s="734"/>
      <c r="L41" s="735"/>
      <c r="M41" s="735"/>
      <c r="N41" s="735"/>
      <c r="O41" s="735"/>
      <c r="P41" s="735"/>
      <c r="Q41" s="735"/>
      <c r="R41" s="735"/>
      <c r="S41" s="735"/>
      <c r="T41" s="735"/>
      <c r="U41" s="735"/>
      <c r="V41" s="736"/>
      <c r="W41" s="732">
        <f t="shared" ca="1" si="1"/>
        <v>0</v>
      </c>
      <c r="X41" s="732"/>
      <c r="Y41" s="737"/>
      <c r="Z41" s="738">
        <f t="shared" ref="Z41" si="291">CK41</f>
        <v>0</v>
      </c>
      <c r="AA41" s="739"/>
      <c r="AB41" s="739"/>
      <c r="AC41" s="739"/>
      <c r="AD41" s="739"/>
      <c r="AE41" s="739"/>
      <c r="AF41" s="739"/>
      <c r="AG41" s="739"/>
      <c r="AH41" s="739"/>
      <c r="AI41" s="739"/>
      <c r="AJ41" s="739"/>
      <c r="AK41" s="739"/>
      <c r="AL41" s="739"/>
      <c r="AM41" s="740"/>
      <c r="AN41" s="741" t="s">
        <v>124</v>
      </c>
      <c r="AO41" s="741" t="str">
        <f t="shared" si="2"/>
        <v>Yandex.ru</v>
      </c>
      <c r="AP41" s="742">
        <f t="shared" si="3"/>
        <v>40</v>
      </c>
      <c r="AQ41" s="743" t="str">
        <f t="shared" ca="1" si="14"/>
        <v>Вкл.</v>
      </c>
      <c r="AR41" s="743">
        <f t="shared" ca="1" si="14"/>
        <v>0</v>
      </c>
      <c r="AS41" s="744">
        <v>0</v>
      </c>
      <c r="AT41" s="745">
        <v>0</v>
      </c>
      <c r="AU41" s="746">
        <f t="shared" ca="1" si="15"/>
        <v>250</v>
      </c>
      <c r="AV41" s="747">
        <f t="shared" ca="1" si="16"/>
        <v>250</v>
      </c>
      <c r="AW41" s="748">
        <f t="shared" ca="1" si="17"/>
        <v>250</v>
      </c>
      <c r="AX41" s="749"/>
      <c r="AY41" s="749"/>
      <c r="AZ41" s="750">
        <f t="shared" ca="1" si="18"/>
        <v>250</v>
      </c>
      <c r="BA41" s="751">
        <f t="shared" ca="1" si="19"/>
        <v>250</v>
      </c>
      <c r="BB41" s="750">
        <f t="shared" ca="1" si="20"/>
        <v>1</v>
      </c>
      <c r="BC41" s="752" t="str">
        <f t="shared" ca="1" si="20"/>
        <v>1000 контактов</v>
      </c>
      <c r="BD41" s="745" t="str">
        <f t="shared" ca="1" si="21"/>
        <v>х1000</v>
      </c>
      <c r="BE41" s="753">
        <f t="shared" ca="1" si="4"/>
        <v>0</v>
      </c>
      <c r="BF41" s="750">
        <f t="array" aca="1" ref="BF41" ca="1">SUM($K41:$V41*$BK41:$BV41)*$AZ41</f>
        <v>0</v>
      </c>
      <c r="BG41" s="750">
        <f t="array" aca="1" ref="BG41" ca="1">SUM($K41:$V41*$BY41:$CJ41*$BK41:$BV41)*$AZ41*$BX41</f>
        <v>0</v>
      </c>
      <c r="BH41" s="750">
        <f t="array" aca="1" ref="BH41" ca="1">SUM($K41:$V41*$BY41:$CJ41*$BK41:$BV41)*(1-$BE41)*$AZ41*$BX41</f>
        <v>0</v>
      </c>
      <c r="BI41" s="754">
        <f t="shared" ca="1" si="22"/>
        <v>0</v>
      </c>
      <c r="BJ41" s="755" t="str">
        <f t="shared" ca="1" si="23"/>
        <v>Да</v>
      </c>
      <c r="BK41" s="756">
        <f t="shared" ca="1" si="277"/>
        <v>0.6</v>
      </c>
      <c r="BL41" s="757">
        <f t="shared" ca="1" si="277"/>
        <v>0.7</v>
      </c>
      <c r="BM41" s="757">
        <f t="shared" ca="1" si="277"/>
        <v>1</v>
      </c>
      <c r="BN41" s="757">
        <f t="shared" ca="1" si="277"/>
        <v>1</v>
      </c>
      <c r="BO41" s="757">
        <f t="shared" ca="1" si="277"/>
        <v>1</v>
      </c>
      <c r="BP41" s="757">
        <f t="shared" ca="1" si="277"/>
        <v>1</v>
      </c>
      <c r="BQ41" s="757">
        <f t="shared" ca="1" si="277"/>
        <v>1</v>
      </c>
      <c r="BR41" s="757">
        <f t="shared" ca="1" si="277"/>
        <v>1</v>
      </c>
      <c r="BS41" s="757">
        <f t="shared" ca="1" si="277"/>
        <v>1.4</v>
      </c>
      <c r="BT41" s="757">
        <f t="shared" ca="1" si="277"/>
        <v>1.4</v>
      </c>
      <c r="BU41" s="757">
        <f t="shared" ca="1" si="277"/>
        <v>1.4</v>
      </c>
      <c r="BV41" s="758">
        <f t="shared" ca="1" si="277"/>
        <v>1.4</v>
      </c>
      <c r="BW41" s="749">
        <f t="shared" si="6"/>
        <v>31</v>
      </c>
      <c r="BX41" s="759">
        <f>IF($AN41="Ya",100%,100%+extraDelayZ)</f>
        <v>1</v>
      </c>
      <c r="BY41" s="760">
        <f t="shared" ref="BY41" si="292">(1+AA41)</f>
        <v>1</v>
      </c>
      <c r="BZ41" s="761">
        <f t="shared" ref="BZ41" si="293">(1+AB41)</f>
        <v>1</v>
      </c>
      <c r="CA41" s="761">
        <f t="shared" ref="CA41" si="294">(1+AC41)</f>
        <v>1</v>
      </c>
      <c r="CB41" s="761">
        <f t="shared" ref="CB41" si="295">(1+AD41)</f>
        <v>1</v>
      </c>
      <c r="CC41" s="761">
        <f t="shared" ref="CC41" si="296">(1+AE41)</f>
        <v>1</v>
      </c>
      <c r="CD41" s="761">
        <f t="shared" ref="CD41" si="297">(1+AF41)</f>
        <v>1</v>
      </c>
      <c r="CE41" s="761">
        <f t="shared" ref="CE41" si="298">(1+AG41)</f>
        <v>1</v>
      </c>
      <c r="CF41" s="761">
        <f t="shared" ref="CF41" si="299">(1+AH41)</f>
        <v>1</v>
      </c>
      <c r="CG41" s="761">
        <f t="shared" ref="CG41" si="300">(1+AI41)</f>
        <v>1</v>
      </c>
      <c r="CH41" s="761">
        <f t="shared" ref="CH41" si="301">(1+AJ41)</f>
        <v>1</v>
      </c>
      <c r="CI41" s="761">
        <f t="shared" ref="CI41" si="302">(1+AK41)</f>
        <v>1</v>
      </c>
      <c r="CJ41" s="762">
        <f t="shared" ref="CJ41" si="303">(1+AL41)</f>
        <v>1</v>
      </c>
      <c r="CK41" s="763">
        <f t="array" ref="CK41">IF(ISERROR(SUM($K41:$V41*$BY41:$CJ41)/SUM($K41:$V41)),1,SUM($K41:$V41*$BY41:$CJ41)/SUM($K41:$V41))-1</f>
        <v>0</v>
      </c>
      <c r="CL41" s="726"/>
    </row>
    <row r="42" spans="1:90" s="727" customFormat="1" ht="12.75" hidden="1" outlineLevel="1" x14ac:dyDescent="0.2">
      <c r="A42" s="728"/>
      <c r="B42" s="729" t="str">
        <f t="shared" ca="1" si="7"/>
        <v>Недвижимость, Все страницы, 728х90</v>
      </c>
      <c r="C42" s="730" t="str">
        <f t="shared" ca="1" si="26"/>
        <v>х1000</v>
      </c>
      <c r="D42" s="731">
        <f t="shared" ca="1" si="8"/>
        <v>700</v>
      </c>
      <c r="E42" s="731">
        <f t="shared" ca="1" si="9"/>
        <v>700</v>
      </c>
      <c r="F42" s="731">
        <f t="shared" ca="1" si="10"/>
        <v>700</v>
      </c>
      <c r="G42" s="732">
        <f t="shared" ca="1" si="11"/>
        <v>700</v>
      </c>
      <c r="H42" s="732">
        <f t="shared" ca="1" si="12"/>
        <v>700</v>
      </c>
      <c r="I42" s="732">
        <f t="shared" ca="1" si="13"/>
        <v>0</v>
      </c>
      <c r="J42" s="733">
        <f t="shared" ca="1" si="40"/>
        <v>0</v>
      </c>
      <c r="K42" s="734"/>
      <c r="L42" s="735"/>
      <c r="M42" s="735"/>
      <c r="N42" s="735"/>
      <c r="O42" s="735"/>
      <c r="P42" s="735"/>
      <c r="Q42" s="735"/>
      <c r="R42" s="735"/>
      <c r="S42" s="735"/>
      <c r="T42" s="735"/>
      <c r="U42" s="735"/>
      <c r="V42" s="736"/>
      <c r="W42" s="732">
        <f t="shared" ca="1" si="1"/>
        <v>0</v>
      </c>
      <c r="X42" s="732"/>
      <c r="Y42" s="737"/>
      <c r="Z42" s="738">
        <f t="shared" ref="Z42" si="304">CK42</f>
        <v>0</v>
      </c>
      <c r="AA42" s="739"/>
      <c r="AB42" s="739"/>
      <c r="AC42" s="739"/>
      <c r="AD42" s="739"/>
      <c r="AE42" s="739"/>
      <c r="AF42" s="739"/>
      <c r="AG42" s="739"/>
      <c r="AH42" s="739"/>
      <c r="AI42" s="739"/>
      <c r="AJ42" s="739"/>
      <c r="AK42" s="739"/>
      <c r="AL42" s="739"/>
      <c r="AM42" s="740"/>
      <c r="AN42" s="741" t="s">
        <v>124</v>
      </c>
      <c r="AO42" s="741" t="str">
        <f t="shared" si="2"/>
        <v>Yandex.ru</v>
      </c>
      <c r="AP42" s="742">
        <f t="shared" si="3"/>
        <v>40</v>
      </c>
      <c r="AQ42" s="743" t="str">
        <f t="shared" ca="1" si="14"/>
        <v>-</v>
      </c>
      <c r="AR42" s="743" t="str">
        <f t="shared" ca="1" si="14"/>
        <v>-</v>
      </c>
      <c r="AS42" s="744">
        <v>0</v>
      </c>
      <c r="AT42" s="745">
        <v>0</v>
      </c>
      <c r="AU42" s="746">
        <f t="shared" ca="1" si="15"/>
        <v>700</v>
      </c>
      <c r="AV42" s="747">
        <f t="shared" ca="1" si="16"/>
        <v>700</v>
      </c>
      <c r="AW42" s="748">
        <f t="shared" ca="1" si="17"/>
        <v>700</v>
      </c>
      <c r="AX42" s="749"/>
      <c r="AY42" s="749"/>
      <c r="AZ42" s="750">
        <f t="shared" ca="1" si="18"/>
        <v>700</v>
      </c>
      <c r="BA42" s="751">
        <f t="shared" ca="1" si="19"/>
        <v>700</v>
      </c>
      <c r="BB42" s="750">
        <f t="shared" ca="1" si="20"/>
        <v>1</v>
      </c>
      <c r="BC42" s="752" t="str">
        <f t="shared" ca="1" si="20"/>
        <v>1000 контактов</v>
      </c>
      <c r="BD42" s="745" t="str">
        <f t="shared" ca="1" si="21"/>
        <v>х1000</v>
      </c>
      <c r="BE42" s="753">
        <f t="shared" ca="1" si="4"/>
        <v>0</v>
      </c>
      <c r="BF42" s="750">
        <f t="array" aca="1" ref="BF42" ca="1">SUM($K42:$V42*$BK42:$BV42)*$AZ42</f>
        <v>0</v>
      </c>
      <c r="BG42" s="750">
        <f t="array" aca="1" ref="BG42" ca="1">SUM($K42:$V42*$BY42:$CJ42*$BK42:$BV42)*$AZ42*$BX42</f>
        <v>0</v>
      </c>
      <c r="BH42" s="750">
        <f t="array" aca="1" ref="BH42" ca="1">SUM($K42:$V42*$BY42:$CJ42*$BK42:$BV42)*(1-$BE42)*$AZ42*$BX42</f>
        <v>0</v>
      </c>
      <c r="BI42" s="754">
        <f t="shared" ca="1" si="22"/>
        <v>0</v>
      </c>
      <c r="BJ42" s="755" t="str">
        <f t="shared" ca="1" si="23"/>
        <v>Да</v>
      </c>
      <c r="BK42" s="756">
        <f t="shared" ca="1" si="277"/>
        <v>0.6</v>
      </c>
      <c r="BL42" s="757">
        <f t="shared" ca="1" si="277"/>
        <v>0.7</v>
      </c>
      <c r="BM42" s="757">
        <f t="shared" ca="1" si="277"/>
        <v>1</v>
      </c>
      <c r="BN42" s="757">
        <f t="shared" ca="1" si="277"/>
        <v>1</v>
      </c>
      <c r="BO42" s="757">
        <f t="shared" ca="1" si="277"/>
        <v>1</v>
      </c>
      <c r="BP42" s="757">
        <f t="shared" ca="1" si="277"/>
        <v>1</v>
      </c>
      <c r="BQ42" s="757">
        <f t="shared" ca="1" si="277"/>
        <v>1</v>
      </c>
      <c r="BR42" s="757">
        <f t="shared" ca="1" si="277"/>
        <v>1</v>
      </c>
      <c r="BS42" s="757">
        <f t="shared" ca="1" si="277"/>
        <v>1.4</v>
      </c>
      <c r="BT42" s="757">
        <f t="shared" ca="1" si="277"/>
        <v>1.4</v>
      </c>
      <c r="BU42" s="757">
        <f t="shared" ca="1" si="277"/>
        <v>1.4</v>
      </c>
      <c r="BV42" s="758">
        <f t="shared" ca="1" si="277"/>
        <v>1.4</v>
      </c>
      <c r="BW42" s="749">
        <f t="shared" si="6"/>
        <v>32</v>
      </c>
      <c r="BX42" s="759">
        <f>IF($AN42="Ya",100%,100%+extraDelayZ)</f>
        <v>1</v>
      </c>
      <c r="BY42" s="760">
        <f t="shared" ref="BY42" si="305">(1+AA42)</f>
        <v>1</v>
      </c>
      <c r="BZ42" s="761">
        <f t="shared" ref="BZ42" si="306">(1+AB42)</f>
        <v>1</v>
      </c>
      <c r="CA42" s="761">
        <f t="shared" ref="CA42" si="307">(1+AC42)</f>
        <v>1</v>
      </c>
      <c r="CB42" s="761">
        <f t="shared" ref="CB42" si="308">(1+AD42)</f>
        <v>1</v>
      </c>
      <c r="CC42" s="761">
        <f t="shared" ref="CC42" si="309">(1+AE42)</f>
        <v>1</v>
      </c>
      <c r="CD42" s="761">
        <f t="shared" ref="CD42" si="310">(1+AF42)</f>
        <v>1</v>
      </c>
      <c r="CE42" s="761">
        <f t="shared" ref="CE42" si="311">(1+AG42)</f>
        <v>1</v>
      </c>
      <c r="CF42" s="761">
        <f t="shared" ref="CF42" si="312">(1+AH42)</f>
        <v>1</v>
      </c>
      <c r="CG42" s="761">
        <f t="shared" ref="CG42" si="313">(1+AI42)</f>
        <v>1</v>
      </c>
      <c r="CH42" s="761">
        <f t="shared" ref="CH42" si="314">(1+AJ42)</f>
        <v>1</v>
      </c>
      <c r="CI42" s="761">
        <f t="shared" ref="CI42" si="315">(1+AK42)</f>
        <v>1</v>
      </c>
      <c r="CJ42" s="762">
        <f t="shared" ref="CJ42" si="316">(1+AL42)</f>
        <v>1</v>
      </c>
      <c r="CK42" s="763">
        <f t="array" ref="CK42">IF(ISERROR(SUM($K42:$V42*$BY42:$CJ42)/SUM($K42:$V42)),1,SUM($K42:$V42*$BY42:$CJ42)/SUM($K42:$V42))-1</f>
        <v>0</v>
      </c>
      <c r="CL42" s="726"/>
    </row>
    <row r="43" spans="1:90" s="727" customFormat="1" ht="12.75" hidden="1" outlineLevel="1" x14ac:dyDescent="0.2">
      <c r="A43" s="728"/>
      <c r="B43" s="729" t="str">
        <f t="shared" ca="1" si="7"/>
        <v>Услуги, Все страницы, 240х400</v>
      </c>
      <c r="C43" s="730" t="str">
        <f t="shared" ca="1" si="26"/>
        <v>х1000</v>
      </c>
      <c r="D43" s="731">
        <f t="shared" ca="1" si="8"/>
        <v>980</v>
      </c>
      <c r="E43" s="731">
        <f t="shared" ca="1" si="9"/>
        <v>980</v>
      </c>
      <c r="F43" s="731">
        <f t="shared" ca="1" si="10"/>
        <v>980</v>
      </c>
      <c r="G43" s="732">
        <f t="shared" ca="1" si="11"/>
        <v>980</v>
      </c>
      <c r="H43" s="732">
        <f t="shared" ca="1" si="12"/>
        <v>980</v>
      </c>
      <c r="I43" s="732">
        <f t="shared" ca="1" si="13"/>
        <v>0</v>
      </c>
      <c r="J43" s="733">
        <f t="shared" ca="1" si="40"/>
        <v>0</v>
      </c>
      <c r="K43" s="734"/>
      <c r="L43" s="735"/>
      <c r="M43" s="735"/>
      <c r="N43" s="735"/>
      <c r="O43" s="735"/>
      <c r="P43" s="735"/>
      <c r="Q43" s="735"/>
      <c r="R43" s="735"/>
      <c r="S43" s="735"/>
      <c r="T43" s="735"/>
      <c r="U43" s="735"/>
      <c r="V43" s="736"/>
      <c r="W43" s="732">
        <f t="shared" ca="1" si="1"/>
        <v>0</v>
      </c>
      <c r="X43" s="732"/>
      <c r="Y43" s="737"/>
      <c r="Z43" s="738">
        <f t="shared" ref="Z43" si="317">CK43</f>
        <v>0</v>
      </c>
      <c r="AA43" s="739"/>
      <c r="AB43" s="739"/>
      <c r="AC43" s="739"/>
      <c r="AD43" s="739"/>
      <c r="AE43" s="739"/>
      <c r="AF43" s="739"/>
      <c r="AG43" s="739"/>
      <c r="AH43" s="739"/>
      <c r="AI43" s="739"/>
      <c r="AJ43" s="739"/>
      <c r="AK43" s="739"/>
      <c r="AL43" s="739"/>
      <c r="AM43" s="740"/>
      <c r="AN43" s="741" t="s">
        <v>124</v>
      </c>
      <c r="AO43" s="741" t="str">
        <f t="shared" si="2"/>
        <v>Yandex.ru</v>
      </c>
      <c r="AP43" s="742">
        <f t="shared" si="3"/>
        <v>40</v>
      </c>
      <c r="AQ43" s="743" t="str">
        <f t="shared" ca="1" si="14"/>
        <v>-</v>
      </c>
      <c r="AR43" s="743" t="str">
        <f t="shared" ca="1" si="14"/>
        <v>-</v>
      </c>
      <c r="AS43" s="744">
        <v>0</v>
      </c>
      <c r="AT43" s="745">
        <v>0</v>
      </c>
      <c r="AU43" s="746">
        <f t="shared" ca="1" si="15"/>
        <v>980</v>
      </c>
      <c r="AV43" s="747">
        <f t="shared" ca="1" si="16"/>
        <v>980</v>
      </c>
      <c r="AW43" s="748">
        <f t="shared" ca="1" si="17"/>
        <v>980</v>
      </c>
      <c r="AX43" s="749"/>
      <c r="AY43" s="749"/>
      <c r="AZ43" s="750">
        <f t="shared" ca="1" si="18"/>
        <v>980</v>
      </c>
      <c r="BA43" s="751">
        <f t="shared" ca="1" si="19"/>
        <v>980</v>
      </c>
      <c r="BB43" s="750">
        <f t="shared" ca="1" si="20"/>
        <v>1</v>
      </c>
      <c r="BC43" s="752" t="str">
        <f t="shared" ca="1" si="20"/>
        <v>1000 контактов</v>
      </c>
      <c r="BD43" s="745" t="str">
        <f t="shared" ca="1" si="21"/>
        <v>х1000</v>
      </c>
      <c r="BE43" s="753">
        <f t="shared" ca="1" si="4"/>
        <v>0</v>
      </c>
      <c r="BF43" s="750">
        <f t="array" aca="1" ref="BF43" ca="1">SUM($K43:$V43*$BK43:$BV43)*$AZ43</f>
        <v>0</v>
      </c>
      <c r="BG43" s="750">
        <f t="array" aca="1" ref="BG43" ca="1">SUM($K43:$V43*$BY43:$CJ43*$BK43:$BV43)*$AZ43*$BX43</f>
        <v>0</v>
      </c>
      <c r="BH43" s="750">
        <f t="array" aca="1" ref="BH43" ca="1">SUM($K43:$V43*$BY43:$CJ43*$BK43:$BV43)*(1-$BE43)*$AZ43*$BX43</f>
        <v>0</v>
      </c>
      <c r="BI43" s="754">
        <f t="shared" ca="1" si="22"/>
        <v>0</v>
      </c>
      <c r="BJ43" s="755" t="str">
        <f t="shared" ca="1" si="23"/>
        <v>Да</v>
      </c>
      <c r="BK43" s="756">
        <f t="shared" ca="1" si="277"/>
        <v>0.6</v>
      </c>
      <c r="BL43" s="757">
        <f t="shared" ca="1" si="277"/>
        <v>0.7</v>
      </c>
      <c r="BM43" s="757">
        <f t="shared" ca="1" si="277"/>
        <v>1</v>
      </c>
      <c r="BN43" s="757">
        <f t="shared" ca="1" si="277"/>
        <v>1</v>
      </c>
      <c r="BO43" s="757">
        <f t="shared" ca="1" si="277"/>
        <v>1</v>
      </c>
      <c r="BP43" s="757">
        <f t="shared" ca="1" si="277"/>
        <v>1</v>
      </c>
      <c r="BQ43" s="757">
        <f t="shared" ca="1" si="277"/>
        <v>1</v>
      </c>
      <c r="BR43" s="757">
        <f t="shared" ca="1" si="277"/>
        <v>1</v>
      </c>
      <c r="BS43" s="757">
        <f t="shared" ca="1" si="277"/>
        <v>1.4</v>
      </c>
      <c r="BT43" s="757">
        <f t="shared" ca="1" si="277"/>
        <v>1.4</v>
      </c>
      <c r="BU43" s="757">
        <f t="shared" ca="1" si="277"/>
        <v>1.4</v>
      </c>
      <c r="BV43" s="758">
        <f t="shared" ca="1" si="277"/>
        <v>1.4</v>
      </c>
      <c r="BW43" s="749">
        <f t="shared" si="6"/>
        <v>33</v>
      </c>
      <c r="BX43" s="759">
        <f>IF($AN43="Ya",100%,100%+extraDelayZ)</f>
        <v>1</v>
      </c>
      <c r="BY43" s="760">
        <f t="shared" ref="BY43" si="318">(1+AA43)</f>
        <v>1</v>
      </c>
      <c r="BZ43" s="761">
        <f t="shared" ref="BZ43" si="319">(1+AB43)</f>
        <v>1</v>
      </c>
      <c r="CA43" s="761">
        <f t="shared" ref="CA43" si="320">(1+AC43)</f>
        <v>1</v>
      </c>
      <c r="CB43" s="761">
        <f t="shared" ref="CB43" si="321">(1+AD43)</f>
        <v>1</v>
      </c>
      <c r="CC43" s="761">
        <f t="shared" ref="CC43" si="322">(1+AE43)</f>
        <v>1</v>
      </c>
      <c r="CD43" s="761">
        <f t="shared" ref="CD43" si="323">(1+AF43)</f>
        <v>1</v>
      </c>
      <c r="CE43" s="761">
        <f t="shared" ref="CE43" si="324">(1+AG43)</f>
        <v>1</v>
      </c>
      <c r="CF43" s="761">
        <f t="shared" ref="CF43" si="325">(1+AH43)</f>
        <v>1</v>
      </c>
      <c r="CG43" s="761">
        <f t="shared" ref="CG43" si="326">(1+AI43)</f>
        <v>1</v>
      </c>
      <c r="CH43" s="761">
        <f t="shared" ref="CH43" si="327">(1+AJ43)</f>
        <v>1</v>
      </c>
      <c r="CI43" s="761">
        <f t="shared" ref="CI43" si="328">(1+AK43)</f>
        <v>1</v>
      </c>
      <c r="CJ43" s="762">
        <f t="shared" ref="CJ43" si="329">(1+AL43)</f>
        <v>1</v>
      </c>
      <c r="CK43" s="763">
        <f t="array" ref="CK43">IF(ISERROR(SUM($K43:$V43*$BY43:$CJ43)/SUM($K43:$V43)),1,SUM($K43:$V43*$BY43:$CJ43)/SUM($K43:$V43))-1</f>
        <v>0</v>
      </c>
      <c r="CL43" s="726"/>
    </row>
    <row r="44" spans="1:90" s="727" customFormat="1" ht="12.75" hidden="1" outlineLevel="1" x14ac:dyDescent="0.2">
      <c r="A44" s="728"/>
      <c r="B44" s="729" t="str">
        <f t="shared" ca="1" si="7"/>
        <v>Расписания, Пакет "Авиа", 728х90</v>
      </c>
      <c r="C44" s="730" t="str">
        <f t="shared" ca="1" si="26"/>
        <v>Пакет</v>
      </c>
      <c r="D44" s="731">
        <f t="shared" ca="1" si="8"/>
        <v>300</v>
      </c>
      <c r="E44" s="731">
        <f t="shared" ca="1" si="9"/>
        <v>300</v>
      </c>
      <c r="F44" s="731">
        <f t="shared" ca="1" si="10"/>
        <v>300</v>
      </c>
      <c r="G44" s="732">
        <f t="shared" ca="1" si="11"/>
        <v>90000</v>
      </c>
      <c r="H44" s="732">
        <f t="shared" ca="1" si="12"/>
        <v>90000</v>
      </c>
      <c r="I44" s="732">
        <f t="shared" ca="1" si="13"/>
        <v>0</v>
      </c>
      <c r="J44" s="733">
        <f t="shared" ca="1" si="40"/>
        <v>0</v>
      </c>
      <c r="K44" s="734"/>
      <c r="L44" s="735"/>
      <c r="M44" s="735"/>
      <c r="N44" s="735"/>
      <c r="O44" s="735"/>
      <c r="P44" s="735"/>
      <c r="Q44" s="735"/>
      <c r="R44" s="735"/>
      <c r="S44" s="735"/>
      <c r="T44" s="735"/>
      <c r="U44" s="735"/>
      <c r="V44" s="736"/>
      <c r="W44" s="732">
        <f t="shared" ca="1" si="1"/>
        <v>0</v>
      </c>
      <c r="X44" s="732"/>
      <c r="Y44" s="737"/>
      <c r="Z44" s="738">
        <f t="shared" si="27"/>
        <v>0</v>
      </c>
      <c r="AA44" s="739"/>
      <c r="AB44" s="739"/>
      <c r="AC44" s="739"/>
      <c r="AD44" s="739"/>
      <c r="AE44" s="739"/>
      <c r="AF44" s="739"/>
      <c r="AG44" s="739"/>
      <c r="AH44" s="739"/>
      <c r="AI44" s="739"/>
      <c r="AJ44" s="739"/>
      <c r="AK44" s="739"/>
      <c r="AL44" s="739"/>
      <c r="AM44" s="740"/>
      <c r="AN44" s="741" t="s">
        <v>124</v>
      </c>
      <c r="AO44" s="741" t="str">
        <f t="shared" si="2"/>
        <v>Yandex.ru</v>
      </c>
      <c r="AP44" s="742">
        <f t="shared" si="3"/>
        <v>40</v>
      </c>
      <c r="AQ44" s="743" t="str">
        <f t="shared" ca="1" si="14"/>
        <v>Вкл.</v>
      </c>
      <c r="AR44" s="743" t="str">
        <f t="shared" ca="1" si="14"/>
        <v>-</v>
      </c>
      <c r="AS44" s="744">
        <v>0</v>
      </c>
      <c r="AT44" s="745">
        <v>0</v>
      </c>
      <c r="AU44" s="746">
        <f t="shared" ca="1" si="15"/>
        <v>300</v>
      </c>
      <c r="AV44" s="747">
        <f t="shared" ca="1" si="16"/>
        <v>300</v>
      </c>
      <c r="AW44" s="748">
        <f t="shared" ca="1" si="17"/>
        <v>300</v>
      </c>
      <c r="AX44" s="749"/>
      <c r="AY44" s="749"/>
      <c r="AZ44" s="750">
        <f t="shared" ca="1" si="18"/>
        <v>90000</v>
      </c>
      <c r="BA44" s="751">
        <f t="shared" ca="1" si="19"/>
        <v>90000</v>
      </c>
      <c r="BB44" s="750">
        <f t="shared" ca="1" si="20"/>
        <v>300</v>
      </c>
      <c r="BC44" s="752" t="str">
        <f t="shared" ca="1" si="20"/>
        <v>Пакет</v>
      </c>
      <c r="BD44" s="745" t="str">
        <f t="shared" ca="1" si="21"/>
        <v>Пакет</v>
      </c>
      <c r="BE44" s="753">
        <f t="shared" ca="1" si="4"/>
        <v>0</v>
      </c>
      <c r="BF44" s="750">
        <f t="array" aca="1" ref="BF44" ca="1">SUM($K44:$V44*$BK44:$BV44)*$AZ44</f>
        <v>0</v>
      </c>
      <c r="BG44" s="750">
        <f t="array" aca="1" ref="BG44" ca="1">SUM($K44:$V44*$BY44:$CJ44*$BK44:$BV44)*$AZ44*$BX44</f>
        <v>0</v>
      </c>
      <c r="BH44" s="750">
        <f t="array" aca="1" ref="BH44" ca="1">SUM($K44:$V44*$BY44:$CJ44*$BK44:$BV44)*(1-$BE44)*$AZ44*$BX44</f>
        <v>0</v>
      </c>
      <c r="BI44" s="754">
        <f t="shared" ca="1" si="22"/>
        <v>0</v>
      </c>
      <c r="BJ44" s="755" t="str">
        <f t="shared" ca="1" si="23"/>
        <v>Да</v>
      </c>
      <c r="BK44" s="756">
        <f t="shared" ca="1" si="24"/>
        <v>0.6</v>
      </c>
      <c r="BL44" s="757">
        <f t="shared" ca="1" si="24"/>
        <v>0.7</v>
      </c>
      <c r="BM44" s="757">
        <f t="shared" ca="1" si="24"/>
        <v>1</v>
      </c>
      <c r="BN44" s="757">
        <f t="shared" ca="1" si="24"/>
        <v>1</v>
      </c>
      <c r="BO44" s="757">
        <f t="shared" ca="1" si="24"/>
        <v>1</v>
      </c>
      <c r="BP44" s="757">
        <f t="shared" ca="1" si="24"/>
        <v>1</v>
      </c>
      <c r="BQ44" s="757">
        <f t="shared" ca="1" si="24"/>
        <v>1</v>
      </c>
      <c r="BR44" s="757">
        <f t="shared" ca="1" si="24"/>
        <v>1</v>
      </c>
      <c r="BS44" s="757">
        <f t="shared" ca="1" si="24"/>
        <v>1.4</v>
      </c>
      <c r="BT44" s="757">
        <f t="shared" ca="1" si="24"/>
        <v>1.4</v>
      </c>
      <c r="BU44" s="757">
        <f t="shared" ca="1" si="24"/>
        <v>1.4</v>
      </c>
      <c r="BV44" s="758">
        <f t="shared" ca="1" si="24"/>
        <v>1.4</v>
      </c>
      <c r="BW44" s="749">
        <f t="shared" si="6"/>
        <v>34</v>
      </c>
      <c r="BX44" s="759">
        <f>IF($AN44="Ya",100%,100%+extraDelayZ)</f>
        <v>1</v>
      </c>
      <c r="BY44" s="760">
        <f t="shared" si="28"/>
        <v>1</v>
      </c>
      <c r="BZ44" s="761">
        <f t="shared" si="29"/>
        <v>1</v>
      </c>
      <c r="CA44" s="761">
        <f t="shared" si="30"/>
        <v>1</v>
      </c>
      <c r="CB44" s="761">
        <f t="shared" si="31"/>
        <v>1</v>
      </c>
      <c r="CC44" s="761">
        <f t="shared" si="32"/>
        <v>1</v>
      </c>
      <c r="CD44" s="761">
        <f t="shared" si="33"/>
        <v>1</v>
      </c>
      <c r="CE44" s="761">
        <f t="shared" si="34"/>
        <v>1</v>
      </c>
      <c r="CF44" s="761">
        <f t="shared" si="35"/>
        <v>1</v>
      </c>
      <c r="CG44" s="761">
        <f t="shared" si="36"/>
        <v>1</v>
      </c>
      <c r="CH44" s="761">
        <f t="shared" si="37"/>
        <v>1</v>
      </c>
      <c r="CI44" s="761">
        <f t="shared" si="38"/>
        <v>1</v>
      </c>
      <c r="CJ44" s="762">
        <f t="shared" si="39"/>
        <v>1</v>
      </c>
      <c r="CK44" s="763">
        <f t="array" ref="CK44">IF(ISERROR(SUM($K44:$V44*$BY44:$CJ44)/SUM($K44:$V44)),1,SUM($K44:$V44*$BY44:$CJ44)/SUM($K44:$V44))-1</f>
        <v>0</v>
      </c>
      <c r="CL44" s="726"/>
    </row>
    <row r="45" spans="1:90" s="727" customFormat="1" ht="12.75" hidden="1" outlineLevel="1" x14ac:dyDescent="0.2">
      <c r="A45" s="728"/>
      <c r="B45" s="729" t="str">
        <f t="shared" ca="1" si="7"/>
        <v>Расписания, Пакет "Ж/д", 728х90</v>
      </c>
      <c r="C45" s="730" t="str">
        <f t="shared" ca="1" si="26"/>
        <v>Пакет</v>
      </c>
      <c r="D45" s="731">
        <f t="shared" ca="1" si="8"/>
        <v>200</v>
      </c>
      <c r="E45" s="731">
        <f t="shared" ca="1" si="9"/>
        <v>200</v>
      </c>
      <c r="F45" s="731">
        <f t="shared" ca="1" si="10"/>
        <v>200</v>
      </c>
      <c r="G45" s="732">
        <f t="shared" ca="1" si="11"/>
        <v>50000</v>
      </c>
      <c r="H45" s="732">
        <f t="shared" ca="1" si="12"/>
        <v>50000</v>
      </c>
      <c r="I45" s="732">
        <f t="shared" ca="1" si="13"/>
        <v>0</v>
      </c>
      <c r="J45" s="733">
        <f t="shared" ca="1" si="40"/>
        <v>0</v>
      </c>
      <c r="K45" s="734"/>
      <c r="L45" s="735"/>
      <c r="M45" s="735"/>
      <c r="N45" s="735"/>
      <c r="O45" s="735"/>
      <c r="P45" s="735"/>
      <c r="Q45" s="735"/>
      <c r="R45" s="735"/>
      <c r="S45" s="735"/>
      <c r="T45" s="735"/>
      <c r="U45" s="735"/>
      <c r="V45" s="736"/>
      <c r="W45" s="732">
        <f t="shared" ca="1" si="1"/>
        <v>0</v>
      </c>
      <c r="X45" s="732"/>
      <c r="Y45" s="737"/>
      <c r="Z45" s="738">
        <f t="shared" si="27"/>
        <v>0</v>
      </c>
      <c r="AA45" s="739"/>
      <c r="AB45" s="739"/>
      <c r="AC45" s="739"/>
      <c r="AD45" s="739"/>
      <c r="AE45" s="739"/>
      <c r="AF45" s="739"/>
      <c r="AG45" s="739"/>
      <c r="AH45" s="739"/>
      <c r="AI45" s="739"/>
      <c r="AJ45" s="739"/>
      <c r="AK45" s="739"/>
      <c r="AL45" s="739"/>
      <c r="AM45" s="740"/>
      <c r="AN45" s="741" t="s">
        <v>124</v>
      </c>
      <c r="AO45" s="741" t="str">
        <f t="shared" si="2"/>
        <v>Yandex.ru</v>
      </c>
      <c r="AP45" s="742">
        <f t="shared" si="3"/>
        <v>40</v>
      </c>
      <c r="AQ45" s="743" t="str">
        <f t="shared" ca="1" si="14"/>
        <v>Вкл.</v>
      </c>
      <c r="AR45" s="743" t="str">
        <f t="shared" ca="1" si="14"/>
        <v>-</v>
      </c>
      <c r="AS45" s="744">
        <v>0</v>
      </c>
      <c r="AT45" s="745">
        <v>0</v>
      </c>
      <c r="AU45" s="746">
        <f t="shared" ca="1" si="15"/>
        <v>200</v>
      </c>
      <c r="AV45" s="747">
        <f t="shared" ca="1" si="16"/>
        <v>200</v>
      </c>
      <c r="AW45" s="748">
        <f t="shared" ca="1" si="17"/>
        <v>200</v>
      </c>
      <c r="AX45" s="749"/>
      <c r="AY45" s="749"/>
      <c r="AZ45" s="750">
        <f t="shared" ca="1" si="18"/>
        <v>50000</v>
      </c>
      <c r="BA45" s="751">
        <f t="shared" ca="1" si="19"/>
        <v>50000</v>
      </c>
      <c r="BB45" s="750">
        <f t="shared" ca="1" si="20"/>
        <v>250</v>
      </c>
      <c r="BC45" s="752" t="str">
        <f t="shared" ca="1" si="20"/>
        <v>Пакет</v>
      </c>
      <c r="BD45" s="745" t="str">
        <f t="shared" ca="1" si="21"/>
        <v>Пакет</v>
      </c>
      <c r="BE45" s="753">
        <f t="shared" ca="1" si="4"/>
        <v>0</v>
      </c>
      <c r="BF45" s="750">
        <f t="array" aca="1" ref="BF45" ca="1">SUM($K45:$V45*$BK45:$BV45)*$AZ45</f>
        <v>0</v>
      </c>
      <c r="BG45" s="750">
        <f t="array" aca="1" ref="BG45" ca="1">SUM($K45:$V45*$BY45:$CJ45*$BK45:$BV45)*$AZ45*$BX45</f>
        <v>0</v>
      </c>
      <c r="BH45" s="750">
        <f t="array" aca="1" ref="BH45" ca="1">SUM($K45:$V45*$BY45:$CJ45*$BK45:$BV45)*(1-$BE45)*$AZ45*$BX45</f>
        <v>0</v>
      </c>
      <c r="BI45" s="754">
        <f t="shared" ca="1" si="22"/>
        <v>0</v>
      </c>
      <c r="BJ45" s="755" t="str">
        <f t="shared" ca="1" si="23"/>
        <v>Да</v>
      </c>
      <c r="BK45" s="756">
        <f t="shared" ca="1" si="277"/>
        <v>0.6</v>
      </c>
      <c r="BL45" s="757">
        <f t="shared" ca="1" si="277"/>
        <v>0.7</v>
      </c>
      <c r="BM45" s="757">
        <f t="shared" ca="1" si="277"/>
        <v>1</v>
      </c>
      <c r="BN45" s="757">
        <f t="shared" ca="1" si="277"/>
        <v>1</v>
      </c>
      <c r="BO45" s="757">
        <f t="shared" ca="1" si="277"/>
        <v>1</v>
      </c>
      <c r="BP45" s="757">
        <f t="shared" ca="1" si="277"/>
        <v>1</v>
      </c>
      <c r="BQ45" s="757">
        <f t="shared" ca="1" si="277"/>
        <v>1</v>
      </c>
      <c r="BR45" s="757">
        <f t="shared" ca="1" si="277"/>
        <v>1</v>
      </c>
      <c r="BS45" s="757">
        <f t="shared" ca="1" si="277"/>
        <v>1.4</v>
      </c>
      <c r="BT45" s="757">
        <f t="shared" ca="1" si="277"/>
        <v>1.4</v>
      </c>
      <c r="BU45" s="757">
        <f t="shared" ca="1" si="277"/>
        <v>1.4</v>
      </c>
      <c r="BV45" s="758">
        <f t="shared" ca="1" si="277"/>
        <v>1.4</v>
      </c>
      <c r="BW45" s="749">
        <f t="shared" si="6"/>
        <v>35</v>
      </c>
      <c r="BX45" s="759">
        <f>IF($AN45="Ya",100%,100%+extraDelayZ)</f>
        <v>1</v>
      </c>
      <c r="BY45" s="760">
        <f t="shared" si="28"/>
        <v>1</v>
      </c>
      <c r="BZ45" s="761">
        <f t="shared" si="29"/>
        <v>1</v>
      </c>
      <c r="CA45" s="761">
        <f t="shared" si="30"/>
        <v>1</v>
      </c>
      <c r="CB45" s="761">
        <f t="shared" si="31"/>
        <v>1</v>
      </c>
      <c r="CC45" s="761">
        <f t="shared" si="32"/>
        <v>1</v>
      </c>
      <c r="CD45" s="761">
        <f t="shared" si="33"/>
        <v>1</v>
      </c>
      <c r="CE45" s="761">
        <f t="shared" si="34"/>
        <v>1</v>
      </c>
      <c r="CF45" s="761">
        <f t="shared" si="35"/>
        <v>1</v>
      </c>
      <c r="CG45" s="761">
        <f t="shared" si="36"/>
        <v>1</v>
      </c>
      <c r="CH45" s="761">
        <f t="shared" si="37"/>
        <v>1</v>
      </c>
      <c r="CI45" s="761">
        <f t="shared" si="38"/>
        <v>1</v>
      </c>
      <c r="CJ45" s="762">
        <f t="shared" si="39"/>
        <v>1</v>
      </c>
      <c r="CK45" s="763">
        <f t="array" ref="CK45">IF(ISERROR(SUM($K45:$V45*$BY45:$CJ45)/SUM($K45:$V45)),1,SUM($K45:$V45*$BY45:$CJ45)/SUM($K45:$V45))-1</f>
        <v>0</v>
      </c>
      <c r="CL45" s="726"/>
    </row>
    <row r="46" spans="1:90" s="727" customFormat="1" ht="12.75" hidden="1" outlineLevel="1" x14ac:dyDescent="0.2">
      <c r="A46" s="728"/>
      <c r="B46" s="729" t="str">
        <f t="shared" ca="1" si="7"/>
        <v>Расписания, Все страницы кроме справочной информации, 728х90</v>
      </c>
      <c r="C46" s="730" t="str">
        <f t="shared" ca="1" si="26"/>
        <v>х1000</v>
      </c>
      <c r="D46" s="731">
        <f t="shared" ca="1" si="8"/>
        <v>280</v>
      </c>
      <c r="E46" s="731">
        <f t="shared" ca="1" si="9"/>
        <v>280</v>
      </c>
      <c r="F46" s="731">
        <f t="shared" ca="1" si="10"/>
        <v>280</v>
      </c>
      <c r="G46" s="732">
        <f t="shared" ca="1" si="11"/>
        <v>280</v>
      </c>
      <c r="H46" s="732">
        <f t="shared" ca="1" si="12"/>
        <v>280</v>
      </c>
      <c r="I46" s="732">
        <f t="shared" ca="1" si="13"/>
        <v>0</v>
      </c>
      <c r="J46" s="733">
        <f t="shared" ca="1" si="40"/>
        <v>0</v>
      </c>
      <c r="K46" s="734"/>
      <c r="L46" s="735"/>
      <c r="M46" s="735"/>
      <c r="N46" s="735"/>
      <c r="O46" s="735"/>
      <c r="P46" s="735"/>
      <c r="Q46" s="735"/>
      <c r="R46" s="735"/>
      <c r="S46" s="735"/>
      <c r="T46" s="735"/>
      <c r="U46" s="735"/>
      <c r="V46" s="736"/>
      <c r="W46" s="732">
        <f t="shared" ca="1" si="1"/>
        <v>0</v>
      </c>
      <c r="X46" s="732"/>
      <c r="Y46" s="737"/>
      <c r="Z46" s="738">
        <f t="shared" si="27"/>
        <v>0</v>
      </c>
      <c r="AA46" s="739"/>
      <c r="AB46" s="739"/>
      <c r="AC46" s="739"/>
      <c r="AD46" s="739"/>
      <c r="AE46" s="739"/>
      <c r="AF46" s="739"/>
      <c r="AG46" s="739"/>
      <c r="AH46" s="739"/>
      <c r="AI46" s="739"/>
      <c r="AJ46" s="739"/>
      <c r="AK46" s="739"/>
      <c r="AL46" s="739"/>
      <c r="AM46" s="740"/>
      <c r="AN46" s="741" t="s">
        <v>124</v>
      </c>
      <c r="AO46" s="741" t="str">
        <f t="shared" si="2"/>
        <v>Yandex.ru</v>
      </c>
      <c r="AP46" s="742">
        <f t="shared" si="3"/>
        <v>40</v>
      </c>
      <c r="AQ46" s="743">
        <f t="shared" ca="1" si="14"/>
        <v>0</v>
      </c>
      <c r="AR46" s="743">
        <f t="shared" ca="1" si="14"/>
        <v>0</v>
      </c>
      <c r="AS46" s="744">
        <v>0</v>
      </c>
      <c r="AT46" s="745">
        <v>0</v>
      </c>
      <c r="AU46" s="746">
        <f t="shared" ca="1" si="15"/>
        <v>280</v>
      </c>
      <c r="AV46" s="747">
        <f t="shared" ca="1" si="16"/>
        <v>280</v>
      </c>
      <c r="AW46" s="748">
        <f t="shared" ca="1" si="17"/>
        <v>280</v>
      </c>
      <c r="AX46" s="749"/>
      <c r="AY46" s="749"/>
      <c r="AZ46" s="750">
        <f t="shared" ca="1" si="18"/>
        <v>280</v>
      </c>
      <c r="BA46" s="751">
        <f t="shared" ca="1" si="19"/>
        <v>280</v>
      </c>
      <c r="BB46" s="750">
        <f t="shared" ca="1" si="20"/>
        <v>1</v>
      </c>
      <c r="BC46" s="752" t="str">
        <f t="shared" ca="1" si="20"/>
        <v>1000 контактов</v>
      </c>
      <c r="BD46" s="745" t="str">
        <f t="shared" ca="1" si="21"/>
        <v>х1000</v>
      </c>
      <c r="BE46" s="753">
        <f t="shared" ca="1" si="4"/>
        <v>0</v>
      </c>
      <c r="BF46" s="750">
        <f t="array" aca="1" ref="BF46" ca="1">SUM($K46:$V46*$BK46:$BV46)*$AZ46</f>
        <v>0</v>
      </c>
      <c r="BG46" s="750">
        <f t="array" aca="1" ref="BG46" ca="1">SUM($K46:$V46*$BY46:$CJ46*$BK46:$BV46)*$AZ46*$BX46</f>
        <v>0</v>
      </c>
      <c r="BH46" s="750">
        <f t="array" aca="1" ref="BH46" ca="1">SUM($K46:$V46*$BY46:$CJ46*$BK46:$BV46)*(1-$BE46)*$AZ46*$BX46</f>
        <v>0</v>
      </c>
      <c r="BI46" s="754">
        <f t="shared" ca="1" si="22"/>
        <v>0</v>
      </c>
      <c r="BJ46" s="755" t="str">
        <f t="shared" ca="1" si="23"/>
        <v>Да</v>
      </c>
      <c r="BK46" s="756">
        <f t="shared" ca="1" si="277"/>
        <v>0.6</v>
      </c>
      <c r="BL46" s="757">
        <f t="shared" ca="1" si="277"/>
        <v>0.7</v>
      </c>
      <c r="BM46" s="757">
        <f t="shared" ca="1" si="277"/>
        <v>1</v>
      </c>
      <c r="BN46" s="757">
        <f t="shared" ca="1" si="277"/>
        <v>1</v>
      </c>
      <c r="BO46" s="757">
        <f t="shared" ca="1" si="277"/>
        <v>1</v>
      </c>
      <c r="BP46" s="757">
        <f t="shared" ca="1" si="277"/>
        <v>1</v>
      </c>
      <c r="BQ46" s="757">
        <f t="shared" ca="1" si="277"/>
        <v>1</v>
      </c>
      <c r="BR46" s="757">
        <f t="shared" ca="1" si="277"/>
        <v>1</v>
      </c>
      <c r="BS46" s="757">
        <f t="shared" ca="1" si="277"/>
        <v>1.4</v>
      </c>
      <c r="BT46" s="757">
        <f t="shared" ca="1" si="277"/>
        <v>1.4</v>
      </c>
      <c r="BU46" s="757">
        <f t="shared" ca="1" si="277"/>
        <v>1.4</v>
      </c>
      <c r="BV46" s="758">
        <f t="shared" ca="1" si="277"/>
        <v>1.4</v>
      </c>
      <c r="BW46" s="749">
        <f t="shared" si="6"/>
        <v>36</v>
      </c>
      <c r="BX46" s="759">
        <f>IF($AN46="Ya",100%,100%+extraDelayZ)</f>
        <v>1</v>
      </c>
      <c r="BY46" s="760">
        <f t="shared" si="28"/>
        <v>1</v>
      </c>
      <c r="BZ46" s="761">
        <f t="shared" si="29"/>
        <v>1</v>
      </c>
      <c r="CA46" s="761">
        <f t="shared" si="30"/>
        <v>1</v>
      </c>
      <c r="CB46" s="761">
        <f t="shared" si="31"/>
        <v>1</v>
      </c>
      <c r="CC46" s="761">
        <f t="shared" si="32"/>
        <v>1</v>
      </c>
      <c r="CD46" s="761">
        <f t="shared" si="33"/>
        <v>1</v>
      </c>
      <c r="CE46" s="761">
        <f t="shared" si="34"/>
        <v>1</v>
      </c>
      <c r="CF46" s="761">
        <f t="shared" si="35"/>
        <v>1</v>
      </c>
      <c r="CG46" s="761">
        <f t="shared" si="36"/>
        <v>1</v>
      </c>
      <c r="CH46" s="761">
        <f t="shared" si="37"/>
        <v>1</v>
      </c>
      <c r="CI46" s="761">
        <f t="shared" si="38"/>
        <v>1</v>
      </c>
      <c r="CJ46" s="762">
        <f t="shared" si="39"/>
        <v>1</v>
      </c>
      <c r="CK46" s="763">
        <f t="array" ref="CK46">IF(ISERROR(SUM($K46:$V46*$BY46:$CJ46)/SUM($K46:$V46)),1,SUM($K46:$V46*$BY46:$CJ46)/SUM($K46:$V46))-1</f>
        <v>0</v>
      </c>
      <c r="CL46" s="726"/>
    </row>
    <row r="47" spans="1:90" s="727" customFormat="1" ht="12.75" hidden="1" outlineLevel="1" x14ac:dyDescent="0.2">
      <c r="A47" s="728"/>
      <c r="B47" s="729" t="str">
        <f t="shared" ca="1" si="7"/>
        <v>Работа, Первая страница, 300х250</v>
      </c>
      <c r="C47" s="730" t="str">
        <f t="shared" ca="1" si="26"/>
        <v>х1000</v>
      </c>
      <c r="D47" s="731">
        <f t="shared" ca="1" si="8"/>
        <v>150</v>
      </c>
      <c r="E47" s="731">
        <f t="shared" ca="1" si="9"/>
        <v>150</v>
      </c>
      <c r="F47" s="731">
        <f t="shared" ca="1" si="10"/>
        <v>150</v>
      </c>
      <c r="G47" s="732">
        <f t="shared" ca="1" si="11"/>
        <v>150</v>
      </c>
      <c r="H47" s="732">
        <f t="shared" ca="1" si="12"/>
        <v>150</v>
      </c>
      <c r="I47" s="732">
        <f t="shared" ca="1" si="13"/>
        <v>0</v>
      </c>
      <c r="J47" s="733">
        <f t="shared" ca="1" si="40"/>
        <v>0</v>
      </c>
      <c r="K47" s="734"/>
      <c r="L47" s="735"/>
      <c r="M47" s="735"/>
      <c r="N47" s="735"/>
      <c r="O47" s="735"/>
      <c r="P47" s="735"/>
      <c r="Q47" s="735"/>
      <c r="R47" s="735"/>
      <c r="S47" s="735"/>
      <c r="T47" s="735"/>
      <c r="U47" s="735"/>
      <c r="V47" s="736"/>
      <c r="W47" s="732">
        <f t="shared" ca="1" si="1"/>
        <v>0</v>
      </c>
      <c r="X47" s="732"/>
      <c r="Y47" s="737"/>
      <c r="Z47" s="738">
        <f t="shared" si="27"/>
        <v>0</v>
      </c>
      <c r="AA47" s="739"/>
      <c r="AB47" s="739"/>
      <c r="AC47" s="739"/>
      <c r="AD47" s="739"/>
      <c r="AE47" s="739"/>
      <c r="AF47" s="739"/>
      <c r="AG47" s="739"/>
      <c r="AH47" s="739"/>
      <c r="AI47" s="739"/>
      <c r="AJ47" s="739"/>
      <c r="AK47" s="739"/>
      <c r="AL47" s="739"/>
      <c r="AM47" s="740"/>
      <c r="AN47" s="741" t="s">
        <v>124</v>
      </c>
      <c r="AO47" s="741" t="str">
        <f t="shared" si="2"/>
        <v>Yandex.ru</v>
      </c>
      <c r="AP47" s="742">
        <f t="shared" si="3"/>
        <v>40</v>
      </c>
      <c r="AQ47" s="743">
        <f t="shared" ca="1" si="14"/>
        <v>0</v>
      </c>
      <c r="AR47" s="743">
        <f t="shared" ca="1" si="14"/>
        <v>0</v>
      </c>
      <c r="AS47" s="744">
        <v>0</v>
      </c>
      <c r="AT47" s="745">
        <v>0</v>
      </c>
      <c r="AU47" s="746">
        <f t="shared" ca="1" si="15"/>
        <v>150</v>
      </c>
      <c r="AV47" s="747">
        <f t="shared" ca="1" si="16"/>
        <v>150</v>
      </c>
      <c r="AW47" s="748">
        <f t="shared" ca="1" si="17"/>
        <v>150</v>
      </c>
      <c r="AX47" s="749"/>
      <c r="AY47" s="749"/>
      <c r="AZ47" s="750">
        <f t="shared" ca="1" si="18"/>
        <v>150</v>
      </c>
      <c r="BA47" s="751">
        <f t="shared" ca="1" si="19"/>
        <v>150</v>
      </c>
      <c r="BB47" s="750">
        <f t="shared" ca="1" si="20"/>
        <v>1</v>
      </c>
      <c r="BC47" s="752" t="str">
        <f t="shared" ca="1" si="20"/>
        <v>1000 контактов</v>
      </c>
      <c r="BD47" s="745" t="str">
        <f t="shared" ca="1" si="21"/>
        <v>х1000</v>
      </c>
      <c r="BE47" s="753">
        <f t="shared" ca="1" si="4"/>
        <v>0</v>
      </c>
      <c r="BF47" s="750">
        <f t="array" aca="1" ref="BF47" ca="1">SUM($K47:$V47*$BK47:$BV47)*$AZ47</f>
        <v>0</v>
      </c>
      <c r="BG47" s="750">
        <f t="array" aca="1" ref="BG47" ca="1">SUM($K47:$V47*$BY47:$CJ47*$BK47:$BV47)*$AZ47*$BX47</f>
        <v>0</v>
      </c>
      <c r="BH47" s="750">
        <f t="array" aca="1" ref="BH47" ca="1">SUM($K47:$V47*$BY47:$CJ47*$BK47:$BV47)*(1-$BE47)*$AZ47*$BX47</f>
        <v>0</v>
      </c>
      <c r="BI47" s="754">
        <f t="shared" ca="1" si="22"/>
        <v>0</v>
      </c>
      <c r="BJ47" s="755" t="str">
        <f t="shared" ca="1" si="23"/>
        <v>Да</v>
      </c>
      <c r="BK47" s="756">
        <f t="shared" ca="1" si="277"/>
        <v>0.6</v>
      </c>
      <c r="BL47" s="757">
        <f t="shared" ca="1" si="277"/>
        <v>0.7</v>
      </c>
      <c r="BM47" s="757">
        <f t="shared" ca="1" si="277"/>
        <v>1</v>
      </c>
      <c r="BN47" s="757">
        <f t="shared" ca="1" si="277"/>
        <v>1</v>
      </c>
      <c r="BO47" s="757">
        <f t="shared" ca="1" si="277"/>
        <v>1</v>
      </c>
      <c r="BP47" s="757">
        <f t="shared" ca="1" si="277"/>
        <v>1</v>
      </c>
      <c r="BQ47" s="757">
        <f t="shared" ca="1" si="277"/>
        <v>1</v>
      </c>
      <c r="BR47" s="757">
        <f t="shared" ca="1" si="277"/>
        <v>1</v>
      </c>
      <c r="BS47" s="757">
        <f t="shared" ca="1" si="277"/>
        <v>1.4</v>
      </c>
      <c r="BT47" s="757">
        <f t="shared" ca="1" si="277"/>
        <v>1.4</v>
      </c>
      <c r="BU47" s="757">
        <f t="shared" ca="1" si="277"/>
        <v>1.4</v>
      </c>
      <c r="BV47" s="758">
        <f t="shared" ca="1" si="277"/>
        <v>1.4</v>
      </c>
      <c r="BW47" s="749">
        <f t="shared" si="6"/>
        <v>37</v>
      </c>
      <c r="BX47" s="759">
        <f>IF($AN47="Ya",100%,100%+extraDelayZ)</f>
        <v>1</v>
      </c>
      <c r="BY47" s="760">
        <f t="shared" si="28"/>
        <v>1</v>
      </c>
      <c r="BZ47" s="761">
        <f t="shared" si="29"/>
        <v>1</v>
      </c>
      <c r="CA47" s="761">
        <f t="shared" si="30"/>
        <v>1</v>
      </c>
      <c r="CB47" s="761">
        <f t="shared" si="31"/>
        <v>1</v>
      </c>
      <c r="CC47" s="761">
        <f t="shared" si="32"/>
        <v>1</v>
      </c>
      <c r="CD47" s="761">
        <f t="shared" si="33"/>
        <v>1</v>
      </c>
      <c r="CE47" s="761">
        <f t="shared" si="34"/>
        <v>1</v>
      </c>
      <c r="CF47" s="761">
        <f t="shared" si="35"/>
        <v>1</v>
      </c>
      <c r="CG47" s="761">
        <f t="shared" si="36"/>
        <v>1</v>
      </c>
      <c r="CH47" s="761">
        <f t="shared" si="37"/>
        <v>1</v>
      </c>
      <c r="CI47" s="761">
        <f t="shared" si="38"/>
        <v>1</v>
      </c>
      <c r="CJ47" s="762">
        <f t="shared" si="39"/>
        <v>1</v>
      </c>
      <c r="CK47" s="763">
        <f t="array" ref="CK47">IF(ISERROR(SUM($K47:$V47*$BY47:$CJ47)/SUM($K47:$V47)),1,SUM($K47:$V47*$BY47:$CJ47)/SUM($K47:$V47))-1</f>
        <v>0</v>
      </c>
      <c r="CL47" s="726"/>
    </row>
    <row r="48" spans="1:90" s="727" customFormat="1" ht="12.75" hidden="1" outlineLevel="1" x14ac:dyDescent="0.2">
      <c r="A48" s="728"/>
      <c r="B48" s="729" t="str">
        <f t="shared" ca="1" si="7"/>
        <v>ВидеоСеть Яндекс, Видео и Телепрограмма, Видеобаннер 300х250 и заглушка 300х250</v>
      </c>
      <c r="C48" s="730" t="str">
        <f t="shared" ca="1" si="26"/>
        <v>х1000</v>
      </c>
      <c r="D48" s="731">
        <f t="shared" ca="1" si="8"/>
        <v>200</v>
      </c>
      <c r="E48" s="731">
        <f t="shared" ca="1" si="9"/>
        <v>200</v>
      </c>
      <c r="F48" s="731">
        <f t="shared" ca="1" si="10"/>
        <v>200</v>
      </c>
      <c r="G48" s="732">
        <f t="shared" ca="1" si="11"/>
        <v>200</v>
      </c>
      <c r="H48" s="732">
        <f t="shared" ca="1" si="12"/>
        <v>200</v>
      </c>
      <c r="I48" s="732">
        <f t="shared" ca="1" si="13"/>
        <v>0</v>
      </c>
      <c r="J48" s="733">
        <f t="shared" ca="1" si="40"/>
        <v>0</v>
      </c>
      <c r="K48" s="734"/>
      <c r="L48" s="735"/>
      <c r="M48" s="735"/>
      <c r="N48" s="735"/>
      <c r="O48" s="735"/>
      <c r="P48" s="735"/>
      <c r="Q48" s="735"/>
      <c r="R48" s="735"/>
      <c r="S48" s="735"/>
      <c r="T48" s="735"/>
      <c r="U48" s="735"/>
      <c r="V48" s="736"/>
      <c r="W48" s="732">
        <f t="shared" ca="1" si="1"/>
        <v>0</v>
      </c>
      <c r="X48" s="732"/>
      <c r="Y48" s="737"/>
      <c r="Z48" s="738">
        <f t="shared" si="27"/>
        <v>0</v>
      </c>
      <c r="AA48" s="739"/>
      <c r="AB48" s="739"/>
      <c r="AC48" s="739"/>
      <c r="AD48" s="739"/>
      <c r="AE48" s="739"/>
      <c r="AF48" s="739"/>
      <c r="AG48" s="739"/>
      <c r="AH48" s="739"/>
      <c r="AI48" s="739"/>
      <c r="AJ48" s="739"/>
      <c r="AK48" s="739"/>
      <c r="AL48" s="739"/>
      <c r="AM48" s="740"/>
      <c r="AN48" s="741" t="s">
        <v>124</v>
      </c>
      <c r="AO48" s="741" t="str">
        <f t="shared" si="2"/>
        <v>Yandex.ru</v>
      </c>
      <c r="AP48" s="742">
        <f t="shared" si="3"/>
        <v>40</v>
      </c>
      <c r="AQ48" s="743" t="str">
        <f t="shared" ca="1" si="14"/>
        <v>-</v>
      </c>
      <c r="AR48" s="743" t="str">
        <f t="shared" ca="1" si="14"/>
        <v>-</v>
      </c>
      <c r="AS48" s="744">
        <v>0</v>
      </c>
      <c r="AT48" s="745">
        <v>0</v>
      </c>
      <c r="AU48" s="746">
        <f t="shared" ca="1" si="15"/>
        <v>200</v>
      </c>
      <c r="AV48" s="747">
        <f t="shared" ca="1" si="16"/>
        <v>200</v>
      </c>
      <c r="AW48" s="748">
        <f t="shared" ca="1" si="17"/>
        <v>200</v>
      </c>
      <c r="AX48" s="749"/>
      <c r="AY48" s="749"/>
      <c r="AZ48" s="750">
        <f t="shared" ca="1" si="18"/>
        <v>200</v>
      </c>
      <c r="BA48" s="751">
        <f t="shared" ca="1" si="19"/>
        <v>200</v>
      </c>
      <c r="BB48" s="750">
        <f t="shared" ca="1" si="20"/>
        <v>1</v>
      </c>
      <c r="BC48" s="752" t="str">
        <f t="shared" ca="1" si="20"/>
        <v>1000 контактов</v>
      </c>
      <c r="BD48" s="745" t="str">
        <f t="shared" ca="1" si="21"/>
        <v>х1000</v>
      </c>
      <c r="BE48" s="753">
        <f t="shared" ca="1" si="4"/>
        <v>0</v>
      </c>
      <c r="BF48" s="750">
        <f t="array" aca="1" ref="BF48" ca="1">SUM($K48:$V48*$BK48:$BV48)*$AZ48</f>
        <v>0</v>
      </c>
      <c r="BG48" s="750">
        <f t="array" aca="1" ref="BG48" ca="1">SUM($K48:$V48*$BY48:$CJ48*$BK48:$BV48)*$AZ48*$BX48</f>
        <v>0</v>
      </c>
      <c r="BH48" s="750">
        <f t="array" aca="1" ref="BH48" ca="1">SUM($K48:$V48*$BY48:$CJ48*$BK48:$BV48)*(1-$BE48)*$AZ48*$BX48</f>
        <v>0</v>
      </c>
      <c r="BI48" s="754">
        <f t="shared" ca="1" si="22"/>
        <v>0</v>
      </c>
      <c r="BJ48" s="755" t="str">
        <f t="shared" ca="1" si="23"/>
        <v>Да</v>
      </c>
      <c r="BK48" s="756">
        <f t="shared" ca="1" si="277"/>
        <v>0.6</v>
      </c>
      <c r="BL48" s="757">
        <f t="shared" ca="1" si="277"/>
        <v>0.7</v>
      </c>
      <c r="BM48" s="757">
        <f t="shared" ca="1" si="277"/>
        <v>1</v>
      </c>
      <c r="BN48" s="757">
        <f t="shared" ca="1" si="277"/>
        <v>1</v>
      </c>
      <c r="BO48" s="757">
        <f t="shared" ca="1" si="277"/>
        <v>1</v>
      </c>
      <c r="BP48" s="757">
        <f t="shared" ca="1" si="277"/>
        <v>1</v>
      </c>
      <c r="BQ48" s="757">
        <f t="shared" ca="1" si="277"/>
        <v>1</v>
      </c>
      <c r="BR48" s="757">
        <f t="shared" ca="1" si="277"/>
        <v>1</v>
      </c>
      <c r="BS48" s="757">
        <f t="shared" ca="1" si="277"/>
        <v>1.4</v>
      </c>
      <c r="BT48" s="757">
        <f t="shared" ca="1" si="277"/>
        <v>1.4</v>
      </c>
      <c r="BU48" s="757">
        <f t="shared" ca="1" si="277"/>
        <v>1.4</v>
      </c>
      <c r="BV48" s="758">
        <f t="shared" ca="1" si="277"/>
        <v>1.4</v>
      </c>
      <c r="BW48" s="749">
        <f t="shared" si="6"/>
        <v>38</v>
      </c>
      <c r="BX48" s="759">
        <f>IF($AN48="Ya",100%,100%+extraDelayZ)</f>
        <v>1</v>
      </c>
      <c r="BY48" s="760">
        <f t="shared" si="28"/>
        <v>1</v>
      </c>
      <c r="BZ48" s="761">
        <f t="shared" si="29"/>
        <v>1</v>
      </c>
      <c r="CA48" s="761">
        <f t="shared" si="30"/>
        <v>1</v>
      </c>
      <c r="CB48" s="761">
        <f t="shared" si="31"/>
        <v>1</v>
      </c>
      <c r="CC48" s="761">
        <f t="shared" si="32"/>
        <v>1</v>
      </c>
      <c r="CD48" s="761">
        <f t="shared" si="33"/>
        <v>1</v>
      </c>
      <c r="CE48" s="761">
        <f t="shared" si="34"/>
        <v>1</v>
      </c>
      <c r="CF48" s="761">
        <f t="shared" si="35"/>
        <v>1</v>
      </c>
      <c r="CG48" s="761">
        <f t="shared" si="36"/>
        <v>1</v>
      </c>
      <c r="CH48" s="761">
        <f t="shared" si="37"/>
        <v>1</v>
      </c>
      <c r="CI48" s="761">
        <f t="shared" si="38"/>
        <v>1</v>
      </c>
      <c r="CJ48" s="762">
        <f t="shared" si="39"/>
        <v>1</v>
      </c>
      <c r="CK48" s="763">
        <f t="array" ref="CK48">IF(ISERROR(SUM($K48:$V48*$BY48:$CJ48)/SUM($K48:$V48)),1,SUM($K48:$V48*$BY48:$CJ48)/SUM($K48:$V48))-1</f>
        <v>0</v>
      </c>
      <c r="CL48" s="726"/>
    </row>
    <row r="49" spans="1:90" s="727" customFormat="1" ht="12.75" hidden="1" outlineLevel="1" x14ac:dyDescent="0.2">
      <c r="A49" s="728"/>
      <c r="B49" s="729" t="str">
        <f t="shared" ca="1" si="7"/>
        <v>Аудиторная Сеть, 300х250 + 728х90 (предоставляются материалы всех форматов)</v>
      </c>
      <c r="C49" s="730" t="str">
        <f t="shared" ca="1" si="26"/>
        <v>х1000</v>
      </c>
      <c r="D49" s="731">
        <f t="shared" ca="1" si="8"/>
        <v>120</v>
      </c>
      <c r="E49" s="731">
        <f t="shared" ca="1" si="9"/>
        <v>120</v>
      </c>
      <c r="F49" s="731">
        <f t="shared" ca="1" si="10"/>
        <v>120</v>
      </c>
      <c r="G49" s="732">
        <f t="shared" ca="1" si="11"/>
        <v>120</v>
      </c>
      <c r="H49" s="732">
        <f t="shared" ca="1" si="12"/>
        <v>120</v>
      </c>
      <c r="I49" s="732">
        <f t="shared" ca="1" si="13"/>
        <v>0</v>
      </c>
      <c r="J49" s="733">
        <f t="shared" ca="1" si="40"/>
        <v>0</v>
      </c>
      <c r="K49" s="734"/>
      <c r="L49" s="735"/>
      <c r="M49" s="735"/>
      <c r="N49" s="735"/>
      <c r="O49" s="735"/>
      <c r="P49" s="735"/>
      <c r="Q49" s="735"/>
      <c r="R49" s="735"/>
      <c r="S49" s="735"/>
      <c r="T49" s="735"/>
      <c r="U49" s="735"/>
      <c r="V49" s="736"/>
      <c r="W49" s="732">
        <f t="shared" ca="1" si="1"/>
        <v>0</v>
      </c>
      <c r="X49" s="732"/>
      <c r="Y49" s="737"/>
      <c r="Z49" s="738">
        <f t="shared" si="27"/>
        <v>0</v>
      </c>
      <c r="AA49" s="739"/>
      <c r="AB49" s="739"/>
      <c r="AC49" s="739"/>
      <c r="AD49" s="739"/>
      <c r="AE49" s="739"/>
      <c r="AF49" s="739"/>
      <c r="AG49" s="739"/>
      <c r="AH49" s="739"/>
      <c r="AI49" s="739"/>
      <c r="AJ49" s="739"/>
      <c r="AK49" s="739"/>
      <c r="AL49" s="739"/>
      <c r="AM49" s="740"/>
      <c r="AN49" s="741" t="s">
        <v>124</v>
      </c>
      <c r="AO49" s="741" t="str">
        <f t="shared" si="2"/>
        <v>Yandex.ru</v>
      </c>
      <c r="AP49" s="742">
        <f t="shared" si="3"/>
        <v>40</v>
      </c>
      <c r="AQ49" s="743">
        <f t="shared" ca="1" si="14"/>
        <v>0</v>
      </c>
      <c r="AR49" s="743" t="str">
        <f t="shared" ca="1" si="14"/>
        <v>Вкл.</v>
      </c>
      <c r="AS49" s="744">
        <v>0</v>
      </c>
      <c r="AT49" s="745">
        <v>0</v>
      </c>
      <c r="AU49" s="746">
        <f t="shared" ca="1" si="15"/>
        <v>120</v>
      </c>
      <c r="AV49" s="747">
        <f t="shared" ca="1" si="16"/>
        <v>120</v>
      </c>
      <c r="AW49" s="748">
        <f t="shared" ca="1" si="17"/>
        <v>120</v>
      </c>
      <c r="AX49" s="749"/>
      <c r="AY49" s="749"/>
      <c r="AZ49" s="750">
        <f t="shared" ca="1" si="18"/>
        <v>120</v>
      </c>
      <c r="BA49" s="751">
        <f t="shared" ca="1" si="19"/>
        <v>120</v>
      </c>
      <c r="BB49" s="750">
        <f t="shared" ca="1" si="20"/>
        <v>1</v>
      </c>
      <c r="BC49" s="752" t="str">
        <f t="shared" ca="1" si="20"/>
        <v>1000 контактов</v>
      </c>
      <c r="BD49" s="745" t="str">
        <f t="shared" ca="1" si="21"/>
        <v>х1000</v>
      </c>
      <c r="BE49" s="753">
        <f t="shared" ca="1" si="4"/>
        <v>0</v>
      </c>
      <c r="BF49" s="750">
        <f t="array" aca="1" ref="BF49" ca="1">SUM($K49:$V49*$BK49:$BV49)*$AZ49</f>
        <v>0</v>
      </c>
      <c r="BG49" s="750">
        <f t="array" aca="1" ref="BG49" ca="1">SUM($K49:$V49*$BY49:$CJ49*$BK49:$BV49)*$AZ49*$BX49</f>
        <v>0</v>
      </c>
      <c r="BH49" s="750">
        <f t="array" aca="1" ref="BH49" ca="1">SUM($K49:$V49*$BY49:$CJ49*$BK49:$BV49)*(1-$BE49)*$AZ49*$BX49</f>
        <v>0</v>
      </c>
      <c r="BI49" s="754">
        <f t="shared" ca="1" si="22"/>
        <v>0</v>
      </c>
      <c r="BJ49" s="755" t="str">
        <f t="shared" ca="1" si="23"/>
        <v>Да</v>
      </c>
      <c r="BK49" s="756">
        <f t="shared" ca="1" si="277"/>
        <v>0.6</v>
      </c>
      <c r="BL49" s="757">
        <f t="shared" ca="1" si="277"/>
        <v>0.7</v>
      </c>
      <c r="BM49" s="757">
        <f t="shared" ca="1" si="277"/>
        <v>1</v>
      </c>
      <c r="BN49" s="757">
        <f t="shared" ca="1" si="277"/>
        <v>1</v>
      </c>
      <c r="BO49" s="757">
        <f t="shared" ca="1" si="277"/>
        <v>1</v>
      </c>
      <c r="BP49" s="757">
        <f t="shared" ca="1" si="277"/>
        <v>1</v>
      </c>
      <c r="BQ49" s="757">
        <f t="shared" ca="1" si="277"/>
        <v>1</v>
      </c>
      <c r="BR49" s="757">
        <f t="shared" ca="1" si="277"/>
        <v>1</v>
      </c>
      <c r="BS49" s="757">
        <f t="shared" ca="1" si="277"/>
        <v>1.4</v>
      </c>
      <c r="BT49" s="757">
        <f t="shared" ca="1" si="277"/>
        <v>1.4</v>
      </c>
      <c r="BU49" s="757">
        <f t="shared" ca="1" si="277"/>
        <v>1.4</v>
      </c>
      <c r="BV49" s="758">
        <f t="shared" ca="1" si="277"/>
        <v>1.4</v>
      </c>
      <c r="BW49" s="749">
        <f t="shared" si="6"/>
        <v>39</v>
      </c>
      <c r="BX49" s="759">
        <f>IF($AN49="Ya",100%,100%+extraDelayZ)</f>
        <v>1</v>
      </c>
      <c r="BY49" s="760">
        <f t="shared" si="28"/>
        <v>1</v>
      </c>
      <c r="BZ49" s="761">
        <f t="shared" si="29"/>
        <v>1</v>
      </c>
      <c r="CA49" s="761">
        <f t="shared" si="30"/>
        <v>1</v>
      </c>
      <c r="CB49" s="761">
        <f t="shared" si="31"/>
        <v>1</v>
      </c>
      <c r="CC49" s="761">
        <f t="shared" si="32"/>
        <v>1</v>
      </c>
      <c r="CD49" s="761">
        <f t="shared" si="33"/>
        <v>1</v>
      </c>
      <c r="CE49" s="761">
        <f t="shared" si="34"/>
        <v>1</v>
      </c>
      <c r="CF49" s="761">
        <f t="shared" si="35"/>
        <v>1</v>
      </c>
      <c r="CG49" s="761">
        <f t="shared" si="36"/>
        <v>1</v>
      </c>
      <c r="CH49" s="761">
        <f t="shared" si="37"/>
        <v>1</v>
      </c>
      <c r="CI49" s="761">
        <f t="shared" si="38"/>
        <v>1</v>
      </c>
      <c r="CJ49" s="762">
        <f t="shared" si="39"/>
        <v>1</v>
      </c>
      <c r="CK49" s="763">
        <f t="array" ref="CK49">IF(ISERROR(SUM($K49:$V49*$BY49:$CJ49)/SUM($K49:$V49)),1,SUM($K49:$V49*$BY49:$CJ49)/SUM($K49:$V49))-1</f>
        <v>0</v>
      </c>
      <c r="CL49" s="726"/>
    </row>
    <row r="50" spans="1:90" s="727" customFormat="1" ht="12.75" hidden="1" outlineLevel="1" x14ac:dyDescent="0.2">
      <c r="A50" s="728"/>
      <c r="B50" s="764" t="str">
        <f t="shared" ca="1" si="7"/>
        <v>Ретаргетинговая Сеть, 300х250+240х400+728х90 (материалы всех форматов!)</v>
      </c>
      <c r="C50" s="730" t="str">
        <f t="shared" ca="1" si="26"/>
        <v>х1000</v>
      </c>
      <c r="D50" s="765">
        <f t="shared" ca="1" si="8"/>
        <v>200</v>
      </c>
      <c r="E50" s="765">
        <f t="shared" ca="1" si="9"/>
        <v>200</v>
      </c>
      <c r="F50" s="765">
        <f t="shared" ca="1" si="10"/>
        <v>200</v>
      </c>
      <c r="G50" s="766">
        <f t="shared" ca="1" si="11"/>
        <v>200</v>
      </c>
      <c r="H50" s="766">
        <f t="shared" ca="1" si="12"/>
        <v>200</v>
      </c>
      <c r="I50" s="732">
        <f t="shared" ca="1" si="13"/>
        <v>0</v>
      </c>
      <c r="J50" s="733">
        <f t="shared" ca="1" si="40"/>
        <v>0</v>
      </c>
      <c r="K50" s="767"/>
      <c r="L50" s="768"/>
      <c r="M50" s="768"/>
      <c r="N50" s="768"/>
      <c r="O50" s="768"/>
      <c r="P50" s="768"/>
      <c r="Q50" s="768"/>
      <c r="R50" s="768"/>
      <c r="S50" s="768"/>
      <c r="T50" s="768"/>
      <c r="U50" s="768"/>
      <c r="V50" s="769"/>
      <c r="W50" s="766">
        <f t="shared" ca="1" si="1"/>
        <v>0</v>
      </c>
      <c r="X50" s="766"/>
      <c r="Y50" s="770"/>
      <c r="Z50" s="738">
        <f t="shared" si="27"/>
        <v>0</v>
      </c>
      <c r="AA50" s="771"/>
      <c r="AB50" s="771"/>
      <c r="AC50" s="771"/>
      <c r="AD50" s="771"/>
      <c r="AE50" s="771"/>
      <c r="AF50" s="771"/>
      <c r="AG50" s="771"/>
      <c r="AH50" s="771"/>
      <c r="AI50" s="771"/>
      <c r="AJ50" s="771"/>
      <c r="AK50" s="771"/>
      <c r="AL50" s="771"/>
      <c r="AM50" s="772"/>
      <c r="AN50" s="741" t="s">
        <v>124</v>
      </c>
      <c r="AO50" s="741" t="str">
        <f t="shared" si="2"/>
        <v>Yandex.ru</v>
      </c>
      <c r="AP50" s="742">
        <f t="shared" si="3"/>
        <v>40</v>
      </c>
      <c r="AQ50" s="743" t="str">
        <f t="shared" ca="1" si="14"/>
        <v>Вкл.</v>
      </c>
      <c r="AR50" s="743" t="str">
        <f t="shared" ca="1" si="14"/>
        <v>Вкл.</v>
      </c>
      <c r="AS50" s="744">
        <v>0</v>
      </c>
      <c r="AT50" s="745">
        <v>0</v>
      </c>
      <c r="AU50" s="746">
        <f t="shared" ca="1" si="15"/>
        <v>200</v>
      </c>
      <c r="AV50" s="747">
        <f t="shared" ca="1" si="16"/>
        <v>200</v>
      </c>
      <c r="AW50" s="748">
        <f t="shared" ca="1" si="17"/>
        <v>200</v>
      </c>
      <c r="AX50" s="749"/>
      <c r="AY50" s="749"/>
      <c r="AZ50" s="750">
        <f t="shared" ca="1" si="18"/>
        <v>200</v>
      </c>
      <c r="BA50" s="751">
        <f t="shared" ca="1" si="19"/>
        <v>200</v>
      </c>
      <c r="BB50" s="750">
        <f t="shared" ca="1" si="20"/>
        <v>1</v>
      </c>
      <c r="BC50" s="752" t="str">
        <f t="shared" ca="1" si="20"/>
        <v>1000 контактов</v>
      </c>
      <c r="BD50" s="745" t="str">
        <f t="shared" ca="1" si="21"/>
        <v>х1000</v>
      </c>
      <c r="BE50" s="753">
        <f t="shared" ca="1" si="4"/>
        <v>0</v>
      </c>
      <c r="BF50" s="750">
        <f t="array" aca="1" ref="BF50" ca="1">SUM($K50:$V50*$BK50:$BV50)*$AZ50</f>
        <v>0</v>
      </c>
      <c r="BG50" s="750">
        <f t="array" aca="1" ref="BG50" ca="1">SUM($K50:$V50*$BY50:$CJ50*$BK50:$BV50)*$AZ50*$BX50</f>
        <v>0</v>
      </c>
      <c r="BH50" s="750">
        <f t="array" aca="1" ref="BH50" ca="1">SUM($K50:$V50*$BY50:$CJ50*$BK50:$BV50)*(1-$BE50)*$AZ50*$BX50</f>
        <v>0</v>
      </c>
      <c r="BI50" s="754">
        <f t="shared" ca="1" si="22"/>
        <v>0</v>
      </c>
      <c r="BJ50" s="755" t="str">
        <f t="shared" ca="1" si="23"/>
        <v>Да</v>
      </c>
      <c r="BK50" s="756">
        <f t="shared" ca="1" si="277"/>
        <v>0.6</v>
      </c>
      <c r="BL50" s="757">
        <f t="shared" ca="1" si="277"/>
        <v>0.7</v>
      </c>
      <c r="BM50" s="757">
        <f t="shared" ca="1" si="277"/>
        <v>1</v>
      </c>
      <c r="BN50" s="757">
        <f t="shared" ca="1" si="277"/>
        <v>1</v>
      </c>
      <c r="BO50" s="757">
        <f t="shared" ca="1" si="277"/>
        <v>1</v>
      </c>
      <c r="BP50" s="757">
        <f t="shared" ca="1" si="277"/>
        <v>1</v>
      </c>
      <c r="BQ50" s="757">
        <f t="shared" ca="1" si="277"/>
        <v>1</v>
      </c>
      <c r="BR50" s="757">
        <f t="shared" ca="1" si="277"/>
        <v>1</v>
      </c>
      <c r="BS50" s="757">
        <f t="shared" ca="1" si="277"/>
        <v>1.4</v>
      </c>
      <c r="BT50" s="757">
        <f t="shared" ca="1" si="277"/>
        <v>1.4</v>
      </c>
      <c r="BU50" s="757">
        <f t="shared" ca="1" si="277"/>
        <v>1.4</v>
      </c>
      <c r="BV50" s="758">
        <f t="shared" ca="1" si="277"/>
        <v>1.4</v>
      </c>
      <c r="BW50" s="749">
        <f t="shared" si="6"/>
        <v>40</v>
      </c>
      <c r="BX50" s="759">
        <f>IF($AN50="Ya",100%,100%+extraDelayZ)</f>
        <v>1</v>
      </c>
      <c r="BY50" s="760">
        <f t="shared" si="28"/>
        <v>1</v>
      </c>
      <c r="BZ50" s="761">
        <f t="shared" si="29"/>
        <v>1</v>
      </c>
      <c r="CA50" s="761">
        <f t="shared" si="30"/>
        <v>1</v>
      </c>
      <c r="CB50" s="761">
        <f t="shared" si="31"/>
        <v>1</v>
      </c>
      <c r="CC50" s="761">
        <f t="shared" si="32"/>
        <v>1</v>
      </c>
      <c r="CD50" s="761">
        <f t="shared" si="33"/>
        <v>1</v>
      </c>
      <c r="CE50" s="761">
        <f t="shared" si="34"/>
        <v>1</v>
      </c>
      <c r="CF50" s="761">
        <f t="shared" si="35"/>
        <v>1</v>
      </c>
      <c r="CG50" s="761">
        <f t="shared" si="36"/>
        <v>1</v>
      </c>
      <c r="CH50" s="761">
        <f t="shared" si="37"/>
        <v>1</v>
      </c>
      <c r="CI50" s="761">
        <f t="shared" si="38"/>
        <v>1</v>
      </c>
      <c r="CJ50" s="762">
        <f t="shared" si="39"/>
        <v>1</v>
      </c>
      <c r="CK50" s="763">
        <f t="array" ref="CK50">IF(ISERROR(SUM($K50:$V50*$BY50:$CJ50)/SUM($K50:$V50)),1,SUM($K50:$V50*$BY50:$CJ50)/SUM($K50:$V50))-1</f>
        <v>0</v>
      </c>
      <c r="CL50" s="726"/>
    </row>
    <row r="51" spans="1:90" s="727" customFormat="1" ht="15" collapsed="1" x14ac:dyDescent="0.2">
      <c r="A51" s="688"/>
      <c r="B51" s="689" t="str">
        <f>CONCATENATE($AO51,IF($AX51&gt;0,CONCATENATE("  (план ",TEXT(INDEX(indBudX,MATCH($AN51,indPrefixX,0)),"# ##0")," руб.)"),""))</f>
        <v>ЯЗНАЮ</v>
      </c>
      <c r="C51" s="650" t="s">
        <v>363</v>
      </c>
      <c r="D51" s="690"/>
      <c r="E51" s="691"/>
      <c r="F51" s="691"/>
      <c r="G51" s="692"/>
      <c r="H51" s="692"/>
      <c r="I51" s="692">
        <f t="shared" ca="1" si="13"/>
        <v>0</v>
      </c>
      <c r="J51" s="693">
        <f ca="1">$BH51</f>
        <v>0</v>
      </c>
      <c r="K51" s="694"/>
      <c r="L51" s="695"/>
      <c r="M51" s="695"/>
      <c r="N51" s="695"/>
      <c r="O51" s="695"/>
      <c r="P51" s="695"/>
      <c r="Q51" s="695"/>
      <c r="R51" s="695"/>
      <c r="S51" s="695"/>
      <c r="T51" s="695"/>
      <c r="U51" s="695"/>
      <c r="V51" s="696"/>
      <c r="W51" s="692">
        <f t="shared" ca="1" si="1"/>
        <v>0</v>
      </c>
      <c r="X51" s="697"/>
      <c r="Y51" s="698">
        <f ca="1">$BE51</f>
        <v>0</v>
      </c>
      <c r="Z51" s="699"/>
      <c r="AA51" s="700"/>
      <c r="AB51" s="700"/>
      <c r="AC51" s="700"/>
      <c r="AD51" s="700"/>
      <c r="AE51" s="700"/>
      <c r="AF51" s="700"/>
      <c r="AG51" s="700"/>
      <c r="AH51" s="700"/>
      <c r="AI51" s="700"/>
      <c r="AJ51" s="700"/>
      <c r="AK51" s="700"/>
      <c r="AL51" s="700"/>
      <c r="AM51" s="701"/>
      <c r="AN51" s="702" t="s">
        <v>929</v>
      </c>
      <c r="AO51" s="702" t="str">
        <f t="shared" si="2"/>
        <v>ЯЗНАЮ</v>
      </c>
      <c r="AP51" s="703">
        <f t="shared" si="3"/>
        <v>12</v>
      </c>
      <c r="AQ51" s="704"/>
      <c r="AR51" s="704"/>
      <c r="AS51" s="705"/>
      <c r="AT51" s="706"/>
      <c r="AU51" s="707"/>
      <c r="AV51" s="708"/>
      <c r="AW51" s="709"/>
      <c r="AX51" s="710">
        <f>IF(ISERROR(INDEX(indBudX,MATCH($AN51,indPrefixX,0))),0,INDEX(indBudX,MATCH($AN51,indPrefixX,0)))</f>
        <v>0</v>
      </c>
      <c r="AY51" s="710">
        <f>IF(ISNUMBER($X51),$X51,0)</f>
        <v>0</v>
      </c>
      <c r="AZ51" s="711"/>
      <c r="BA51" s="712"/>
      <c r="BB51" s="711"/>
      <c r="BC51" s="713"/>
      <c r="BD51" s="714"/>
      <c r="BE51" s="715">
        <f t="shared" ca="1" si="4"/>
        <v>0</v>
      </c>
      <c r="BF51" s="711">
        <f t="shared" ref="BF51:BI51" ca="1" si="330">SUM(OFFSET(BF51,1,0,$AP51-1,1))</f>
        <v>0</v>
      </c>
      <c r="BG51" s="711">
        <f t="shared" ca="1" si="330"/>
        <v>0</v>
      </c>
      <c r="BH51" s="711">
        <f t="shared" ca="1" si="330"/>
        <v>0</v>
      </c>
      <c r="BI51" s="716">
        <f t="shared" ca="1" si="330"/>
        <v>0</v>
      </c>
      <c r="BJ51" s="717"/>
      <c r="BK51" s="718"/>
      <c r="BL51" s="719"/>
      <c r="BM51" s="719"/>
      <c r="BN51" s="719"/>
      <c r="BO51" s="719"/>
      <c r="BP51" s="719"/>
      <c r="BQ51" s="719"/>
      <c r="BR51" s="719"/>
      <c r="BS51" s="719"/>
      <c r="BT51" s="719"/>
      <c r="BU51" s="719"/>
      <c r="BV51" s="720"/>
      <c r="BW51" s="710">
        <f t="shared" si="6"/>
        <v>1</v>
      </c>
      <c r="BX51" s="721"/>
      <c r="BY51" s="722"/>
      <c r="BZ51" s="723"/>
      <c r="CA51" s="723"/>
      <c r="CB51" s="723"/>
      <c r="CC51" s="723"/>
      <c r="CD51" s="723"/>
      <c r="CE51" s="723"/>
      <c r="CF51" s="723"/>
      <c r="CG51" s="723"/>
      <c r="CH51" s="723"/>
      <c r="CI51" s="723"/>
      <c r="CJ51" s="724"/>
      <c r="CK51" s="725"/>
      <c r="CL51" s="726"/>
    </row>
    <row r="52" spans="1:90" s="727" customFormat="1" ht="12.75" hidden="1" outlineLevel="1" x14ac:dyDescent="0.2">
      <c r="A52" s="728"/>
      <c r="B52" s="729" t="str">
        <f t="shared" ca="1" si="7"/>
        <v>Соц-дем таргетинг, 728х90+240х400+300х250, динамика</v>
      </c>
      <c r="C52" s="730" t="str">
        <f ca="1">$BD52</f>
        <v>х1000</v>
      </c>
      <c r="D52" s="731">
        <f t="shared" ca="1" si="8"/>
        <v>200</v>
      </c>
      <c r="E52" s="731">
        <f t="shared" ca="1" si="9"/>
        <v>200</v>
      </c>
      <c r="F52" s="731">
        <f t="shared" ca="1" si="10"/>
        <v>200</v>
      </c>
      <c r="G52" s="732">
        <f t="shared" ca="1" si="11"/>
        <v>200</v>
      </c>
      <c r="H52" s="732">
        <f t="shared" ca="1" si="12"/>
        <v>200</v>
      </c>
      <c r="I52" s="732">
        <f t="shared" ca="1" si="13"/>
        <v>0</v>
      </c>
      <c r="J52" s="733">
        <f ca="1">$BH52</f>
        <v>0</v>
      </c>
      <c r="K52" s="734"/>
      <c r="L52" s="735"/>
      <c r="M52" s="735"/>
      <c r="N52" s="735"/>
      <c r="O52" s="735"/>
      <c r="P52" s="735"/>
      <c r="Q52" s="735"/>
      <c r="R52" s="735"/>
      <c r="S52" s="735"/>
      <c r="T52" s="735"/>
      <c r="U52" s="735"/>
      <c r="V52" s="736"/>
      <c r="W52" s="732">
        <f t="shared" ca="1" si="1"/>
        <v>0</v>
      </c>
      <c r="X52" s="732"/>
      <c r="Y52" s="737"/>
      <c r="Z52" s="738">
        <f>CK52</f>
        <v>0</v>
      </c>
      <c r="AA52" s="739"/>
      <c r="AB52" s="739"/>
      <c r="AC52" s="739"/>
      <c r="AD52" s="739"/>
      <c r="AE52" s="739"/>
      <c r="AF52" s="739"/>
      <c r="AG52" s="739"/>
      <c r="AH52" s="739"/>
      <c r="AI52" s="739"/>
      <c r="AJ52" s="739"/>
      <c r="AK52" s="739"/>
      <c r="AL52" s="739"/>
      <c r="AM52" s="740"/>
      <c r="AN52" s="741" t="s">
        <v>931</v>
      </c>
      <c r="AO52" s="741" t="str">
        <f t="shared" si="2"/>
        <v>ЯЗНАЮ</v>
      </c>
      <c r="AP52" s="742">
        <f t="shared" si="3"/>
        <v>12</v>
      </c>
      <c r="AQ52" s="743">
        <f t="shared" ca="1" si="14"/>
        <v>0</v>
      </c>
      <c r="AR52" s="743" t="str">
        <f t="shared" ca="1" si="14"/>
        <v>Вкл.</v>
      </c>
      <c r="AS52" s="744">
        <v>0</v>
      </c>
      <c r="AT52" s="745">
        <v>0</v>
      </c>
      <c r="AU52" s="746">
        <f t="shared" ca="1" si="15"/>
        <v>200</v>
      </c>
      <c r="AV52" s="747">
        <f t="shared" ca="1" si="16"/>
        <v>200</v>
      </c>
      <c r="AW52" s="748">
        <f t="shared" ca="1" si="17"/>
        <v>200</v>
      </c>
      <c r="AX52" s="749"/>
      <c r="AY52" s="749"/>
      <c r="AZ52" s="750">
        <f t="shared" ca="1" si="18"/>
        <v>200</v>
      </c>
      <c r="BA52" s="751">
        <f t="shared" ca="1" si="19"/>
        <v>200</v>
      </c>
      <c r="BB52" s="750">
        <f t="shared" ca="1" si="20"/>
        <v>1</v>
      </c>
      <c r="BC52" s="752" t="str">
        <f t="shared" ca="1" si="20"/>
        <v>1000 контактов</v>
      </c>
      <c r="BD52" s="745" t="str">
        <f t="shared" ca="1" si="21"/>
        <v>х1000</v>
      </c>
      <c r="BE52" s="753">
        <f t="shared" ca="1" si="4"/>
        <v>0</v>
      </c>
      <c r="BF52" s="750">
        <f t="array" aca="1" ref="BF52" ca="1">SUM($K52:$V52*$BK52:$BV52)*$AZ52</f>
        <v>0</v>
      </c>
      <c r="BG52" s="750">
        <f t="array" aca="1" ref="BG52" ca="1">SUM($K52:$V52*$BY52:$CJ52*$BK52:$BV52)*$AZ52*$BX52</f>
        <v>0</v>
      </c>
      <c r="BH52" s="750">
        <f t="array" aca="1" ref="BH52" ca="1">SUM($K52:$V52*$BY52:$CJ52*$BK52:$BV52)*(1-$BE52)*$AZ52*$BX52</f>
        <v>0</v>
      </c>
      <c r="BI52" s="754">
        <f t="shared" ca="1" si="22"/>
        <v>0</v>
      </c>
      <c r="BJ52" s="755" t="str">
        <f t="shared" ca="1" si="23"/>
        <v>Нет</v>
      </c>
      <c r="BK52" s="756">
        <f t="shared" ref="BK52:BV62" ca="1" si="331">IF($BJ52="Особ.",INDEX(INDIRECT(LOWER($AN52)&amp;"Season2"),BK$9),IF($BJ52="Да",INDEX(INDIRECT(LOWER($AN52)&amp;"Season"),BK$9),100%))</f>
        <v>1</v>
      </c>
      <c r="BL52" s="757">
        <f t="shared" ca="1" si="331"/>
        <v>1</v>
      </c>
      <c r="BM52" s="757">
        <f t="shared" ca="1" si="331"/>
        <v>1</v>
      </c>
      <c r="BN52" s="757">
        <f t="shared" ca="1" si="331"/>
        <v>1</v>
      </c>
      <c r="BO52" s="757">
        <f t="shared" ca="1" si="331"/>
        <v>1</v>
      </c>
      <c r="BP52" s="757">
        <f t="shared" ca="1" si="331"/>
        <v>1</v>
      </c>
      <c r="BQ52" s="757">
        <f t="shared" ca="1" si="331"/>
        <v>1</v>
      </c>
      <c r="BR52" s="757">
        <f t="shared" ca="1" si="331"/>
        <v>1</v>
      </c>
      <c r="BS52" s="757">
        <f t="shared" ca="1" si="331"/>
        <v>1</v>
      </c>
      <c r="BT52" s="757">
        <f t="shared" ca="1" si="331"/>
        <v>1</v>
      </c>
      <c r="BU52" s="757">
        <f t="shared" ca="1" si="331"/>
        <v>1</v>
      </c>
      <c r="BV52" s="758">
        <f t="shared" ca="1" si="331"/>
        <v>1</v>
      </c>
      <c r="BW52" s="749">
        <f t="shared" si="6"/>
        <v>2</v>
      </c>
      <c r="BX52" s="759">
        <f>IF($AN52="Ya",100%,100%+extraDelayZ)</f>
        <v>1</v>
      </c>
      <c r="BY52" s="760">
        <f>(1+AA52)</f>
        <v>1</v>
      </c>
      <c r="BZ52" s="761">
        <f t="shared" ref="BZ52:BZ62" si="332">(1+AB52)</f>
        <v>1</v>
      </c>
      <c r="CA52" s="761">
        <f t="shared" ref="CA52:CA62" si="333">(1+AC52)</f>
        <v>1</v>
      </c>
      <c r="CB52" s="761">
        <f t="shared" ref="CB52:CB62" si="334">(1+AD52)</f>
        <v>1</v>
      </c>
      <c r="CC52" s="761">
        <f t="shared" ref="CC52:CC62" si="335">(1+AE52)</f>
        <v>1</v>
      </c>
      <c r="CD52" s="761">
        <f t="shared" ref="CD52:CD62" si="336">(1+AF52)</f>
        <v>1</v>
      </c>
      <c r="CE52" s="761">
        <f t="shared" ref="CE52:CE62" si="337">(1+AG52)</f>
        <v>1</v>
      </c>
      <c r="CF52" s="761">
        <f t="shared" ref="CF52:CF62" si="338">(1+AH52)</f>
        <v>1</v>
      </c>
      <c r="CG52" s="761">
        <f t="shared" ref="CG52:CG62" si="339">(1+AI52)</f>
        <v>1</v>
      </c>
      <c r="CH52" s="761">
        <f t="shared" ref="CH52:CH62" si="340">(1+AJ52)</f>
        <v>1</v>
      </c>
      <c r="CI52" s="761">
        <f t="shared" ref="CI52:CI62" si="341">(1+AK52)</f>
        <v>1</v>
      </c>
      <c r="CJ52" s="762">
        <f t="shared" ref="CJ52:CJ62" si="342">(1+AL52)</f>
        <v>1</v>
      </c>
      <c r="CK52" s="763">
        <f t="array" ref="CK52">IF(ISERROR(SUM($K52:$V52*$BY52:$CJ52)/SUM($K52:$V52)),1,SUM($K52:$V52*$BY52:$CJ52)/SUM($K52:$V52))-1</f>
        <v>0</v>
      </c>
      <c r="CL52" s="726"/>
    </row>
    <row r="53" spans="1:90" s="727" customFormat="1" ht="12.75" hidden="1" outlineLevel="1" x14ac:dyDescent="0.2">
      <c r="A53" s="728"/>
      <c r="B53" s="729" t="str">
        <f t="shared" ca="1" si="7"/>
        <v>Таргетинг по интересам, 728х90+240х400+300х250, динамика</v>
      </c>
      <c r="C53" s="730" t="str">
        <f t="shared" ref="C53:C62" ca="1" si="343">$BD53</f>
        <v>х1000</v>
      </c>
      <c r="D53" s="731">
        <f t="shared" ca="1" si="8"/>
        <v>200</v>
      </c>
      <c r="E53" s="731">
        <f t="shared" ca="1" si="9"/>
        <v>200</v>
      </c>
      <c r="F53" s="731">
        <f t="shared" ca="1" si="10"/>
        <v>200</v>
      </c>
      <c r="G53" s="732">
        <f t="shared" ca="1" si="11"/>
        <v>200</v>
      </c>
      <c r="H53" s="732">
        <f t="shared" ca="1" si="12"/>
        <v>200</v>
      </c>
      <c r="I53" s="732">
        <f t="shared" ca="1" si="13"/>
        <v>0</v>
      </c>
      <c r="J53" s="733">
        <f ca="1">$BH53</f>
        <v>0</v>
      </c>
      <c r="K53" s="734"/>
      <c r="L53" s="735"/>
      <c r="M53" s="735"/>
      <c r="N53" s="735"/>
      <c r="O53" s="735"/>
      <c r="P53" s="735"/>
      <c r="Q53" s="735"/>
      <c r="R53" s="735"/>
      <c r="S53" s="735"/>
      <c r="T53" s="735"/>
      <c r="U53" s="735"/>
      <c r="V53" s="736"/>
      <c r="W53" s="732">
        <f t="shared" ca="1" si="1"/>
        <v>0</v>
      </c>
      <c r="X53" s="732"/>
      <c r="Y53" s="737"/>
      <c r="Z53" s="738">
        <f t="shared" ref="Z53:Z62" si="344">CK53</f>
        <v>0</v>
      </c>
      <c r="AA53" s="739"/>
      <c r="AB53" s="739"/>
      <c r="AC53" s="739"/>
      <c r="AD53" s="739"/>
      <c r="AE53" s="739"/>
      <c r="AF53" s="739"/>
      <c r="AG53" s="739"/>
      <c r="AH53" s="739"/>
      <c r="AI53" s="739"/>
      <c r="AJ53" s="739"/>
      <c r="AK53" s="739"/>
      <c r="AL53" s="739"/>
      <c r="AM53" s="740"/>
      <c r="AN53" s="741" t="s">
        <v>929</v>
      </c>
      <c r="AO53" s="741" t="str">
        <f t="shared" si="2"/>
        <v>ЯЗНАЮ</v>
      </c>
      <c r="AP53" s="742">
        <f t="shared" si="3"/>
        <v>12</v>
      </c>
      <c r="AQ53" s="743">
        <f t="shared" ca="1" si="14"/>
        <v>0</v>
      </c>
      <c r="AR53" s="743" t="str">
        <f t="shared" ca="1" si="14"/>
        <v>Вкл.</v>
      </c>
      <c r="AS53" s="744">
        <v>0</v>
      </c>
      <c r="AT53" s="745">
        <v>0</v>
      </c>
      <c r="AU53" s="746">
        <f t="shared" ca="1" si="15"/>
        <v>200</v>
      </c>
      <c r="AV53" s="747">
        <f t="shared" ca="1" si="16"/>
        <v>200</v>
      </c>
      <c r="AW53" s="748">
        <f t="shared" ca="1" si="17"/>
        <v>200</v>
      </c>
      <c r="AX53" s="749"/>
      <c r="AY53" s="749"/>
      <c r="AZ53" s="750">
        <f t="shared" ca="1" si="18"/>
        <v>200</v>
      </c>
      <c r="BA53" s="751">
        <f t="shared" ca="1" si="19"/>
        <v>200</v>
      </c>
      <c r="BB53" s="750">
        <f t="shared" ca="1" si="20"/>
        <v>1</v>
      </c>
      <c r="BC53" s="752" t="str">
        <f t="shared" ca="1" si="20"/>
        <v>1000 контактов</v>
      </c>
      <c r="BD53" s="745" t="str">
        <f t="shared" ca="1" si="21"/>
        <v>х1000</v>
      </c>
      <c r="BE53" s="753">
        <f t="shared" ca="1" si="4"/>
        <v>0</v>
      </c>
      <c r="BF53" s="750">
        <f t="array" aca="1" ref="BF53" ca="1">SUM($K53:$V53*$BK53:$BV53)*$AZ53</f>
        <v>0</v>
      </c>
      <c r="BG53" s="750">
        <f t="array" aca="1" ref="BG53" ca="1">SUM($K53:$V53*$BY53:$CJ53*$BK53:$BV53)*$AZ53*$BX53</f>
        <v>0</v>
      </c>
      <c r="BH53" s="750">
        <f t="array" aca="1" ref="BH53" ca="1">SUM($K53:$V53*$BY53:$CJ53*$BK53:$BV53)*(1-$BE53)*$AZ53*$BX53</f>
        <v>0</v>
      </c>
      <c r="BI53" s="754">
        <f t="shared" ca="1" si="22"/>
        <v>0</v>
      </c>
      <c r="BJ53" s="755" t="str">
        <f t="shared" ca="1" si="23"/>
        <v>Нет</v>
      </c>
      <c r="BK53" s="756">
        <f t="shared" ca="1" si="331"/>
        <v>1</v>
      </c>
      <c r="BL53" s="757">
        <f t="shared" ca="1" si="331"/>
        <v>1</v>
      </c>
      <c r="BM53" s="757">
        <f t="shared" ca="1" si="331"/>
        <v>1</v>
      </c>
      <c r="BN53" s="757">
        <f t="shared" ca="1" si="331"/>
        <v>1</v>
      </c>
      <c r="BO53" s="757">
        <f t="shared" ca="1" si="331"/>
        <v>1</v>
      </c>
      <c r="BP53" s="757">
        <f t="shared" ca="1" si="331"/>
        <v>1</v>
      </c>
      <c r="BQ53" s="757">
        <f t="shared" ca="1" si="331"/>
        <v>1</v>
      </c>
      <c r="BR53" s="757">
        <f t="shared" ca="1" si="331"/>
        <v>1</v>
      </c>
      <c r="BS53" s="757">
        <f t="shared" ca="1" si="331"/>
        <v>1</v>
      </c>
      <c r="BT53" s="757">
        <f t="shared" ca="1" si="331"/>
        <v>1</v>
      </c>
      <c r="BU53" s="757">
        <f t="shared" ca="1" si="331"/>
        <v>1</v>
      </c>
      <c r="BV53" s="758">
        <f t="shared" ca="1" si="331"/>
        <v>1</v>
      </c>
      <c r="BW53" s="749">
        <f t="shared" si="6"/>
        <v>3</v>
      </c>
      <c r="BX53" s="759">
        <f>IF($AN53="Ya",100%,100%+extraDelayZ)</f>
        <v>1</v>
      </c>
      <c r="BY53" s="760">
        <f t="shared" ref="BY53:BY62" si="345">(1+AA53)</f>
        <v>1</v>
      </c>
      <c r="BZ53" s="761">
        <f t="shared" si="332"/>
        <v>1</v>
      </c>
      <c r="CA53" s="761">
        <f t="shared" si="333"/>
        <v>1</v>
      </c>
      <c r="CB53" s="761">
        <f t="shared" si="334"/>
        <v>1</v>
      </c>
      <c r="CC53" s="761">
        <f t="shared" si="335"/>
        <v>1</v>
      </c>
      <c r="CD53" s="761">
        <f t="shared" si="336"/>
        <v>1</v>
      </c>
      <c r="CE53" s="761">
        <f t="shared" si="337"/>
        <v>1</v>
      </c>
      <c r="CF53" s="761">
        <f t="shared" si="338"/>
        <v>1</v>
      </c>
      <c r="CG53" s="761">
        <f t="shared" si="339"/>
        <v>1</v>
      </c>
      <c r="CH53" s="761">
        <f t="shared" si="340"/>
        <v>1</v>
      </c>
      <c r="CI53" s="761">
        <f t="shared" si="341"/>
        <v>1</v>
      </c>
      <c r="CJ53" s="762">
        <f t="shared" si="342"/>
        <v>1</v>
      </c>
      <c r="CK53" s="763">
        <f t="array" ref="CK53">IF(ISERROR(SUM($K53:$V53*$BY53:$CJ53)/SUM($K53:$V53)),1,SUM($K53:$V53*$BY53:$CJ53)/SUM($K53:$V53))-1</f>
        <v>0</v>
      </c>
      <c r="CL53" s="726"/>
    </row>
    <row r="54" spans="1:90" s="727" customFormat="1" ht="12.75" hidden="1" outlineLevel="1" x14ac:dyDescent="0.2">
      <c r="A54" s="728"/>
      <c r="B54" s="729" t="str">
        <f t="shared" ca="1" si="7"/>
        <v>Light Tv Viewers, 728х90+240х400+300х250, динамика</v>
      </c>
      <c r="C54" s="730" t="str">
        <f t="shared" ca="1" si="343"/>
        <v>х1000</v>
      </c>
      <c r="D54" s="731">
        <f t="shared" ca="1" si="8"/>
        <v>200</v>
      </c>
      <c r="E54" s="731">
        <f t="shared" ca="1" si="9"/>
        <v>200</v>
      </c>
      <c r="F54" s="731">
        <f t="shared" ca="1" si="10"/>
        <v>200</v>
      </c>
      <c r="G54" s="732">
        <f t="shared" ca="1" si="11"/>
        <v>200</v>
      </c>
      <c r="H54" s="732">
        <f t="shared" ca="1" si="12"/>
        <v>200</v>
      </c>
      <c r="I54" s="732">
        <f t="shared" ca="1" si="13"/>
        <v>0</v>
      </c>
      <c r="J54" s="733">
        <f t="shared" ref="J54:J62" ca="1" si="346">$BH54</f>
        <v>0</v>
      </c>
      <c r="K54" s="734"/>
      <c r="L54" s="735"/>
      <c r="M54" s="735"/>
      <c r="N54" s="735"/>
      <c r="O54" s="735"/>
      <c r="P54" s="735"/>
      <c r="Q54" s="735"/>
      <c r="R54" s="735"/>
      <c r="S54" s="735"/>
      <c r="T54" s="735"/>
      <c r="U54" s="735"/>
      <c r="V54" s="736"/>
      <c r="W54" s="732">
        <f t="shared" ca="1" si="1"/>
        <v>0</v>
      </c>
      <c r="X54" s="732"/>
      <c r="Y54" s="737"/>
      <c r="Z54" s="738">
        <f t="shared" si="344"/>
        <v>0</v>
      </c>
      <c r="AA54" s="739"/>
      <c r="AB54" s="739"/>
      <c r="AC54" s="739"/>
      <c r="AD54" s="739"/>
      <c r="AE54" s="739"/>
      <c r="AF54" s="739"/>
      <c r="AG54" s="739"/>
      <c r="AH54" s="739"/>
      <c r="AI54" s="739"/>
      <c r="AJ54" s="739"/>
      <c r="AK54" s="739"/>
      <c r="AL54" s="739"/>
      <c r="AM54" s="740"/>
      <c r="AN54" s="741" t="s">
        <v>929</v>
      </c>
      <c r="AO54" s="741" t="str">
        <f t="shared" si="2"/>
        <v>ЯЗНАЮ</v>
      </c>
      <c r="AP54" s="742">
        <f t="shared" si="3"/>
        <v>12</v>
      </c>
      <c r="AQ54" s="743">
        <f t="shared" ca="1" si="14"/>
        <v>0</v>
      </c>
      <c r="AR54" s="743" t="str">
        <f t="shared" ca="1" si="14"/>
        <v>Вкл.</v>
      </c>
      <c r="AS54" s="744">
        <v>0</v>
      </c>
      <c r="AT54" s="745">
        <v>0</v>
      </c>
      <c r="AU54" s="746">
        <f t="shared" ca="1" si="15"/>
        <v>200</v>
      </c>
      <c r="AV54" s="747">
        <f t="shared" ca="1" si="16"/>
        <v>200</v>
      </c>
      <c r="AW54" s="748">
        <f t="shared" ca="1" si="17"/>
        <v>200</v>
      </c>
      <c r="AX54" s="749"/>
      <c r="AY54" s="749"/>
      <c r="AZ54" s="750">
        <f t="shared" ca="1" si="18"/>
        <v>200</v>
      </c>
      <c r="BA54" s="751">
        <f t="shared" ca="1" si="19"/>
        <v>200</v>
      </c>
      <c r="BB54" s="750">
        <f t="shared" ca="1" si="20"/>
        <v>1</v>
      </c>
      <c r="BC54" s="752" t="str">
        <f t="shared" ca="1" si="20"/>
        <v>1000 контактов</v>
      </c>
      <c r="BD54" s="745" t="str">
        <f t="shared" ca="1" si="21"/>
        <v>х1000</v>
      </c>
      <c r="BE54" s="753">
        <f t="shared" ca="1" si="4"/>
        <v>0</v>
      </c>
      <c r="BF54" s="750">
        <f t="array" aca="1" ref="BF54" ca="1">SUM($K54:$V54*$BK54:$BV54)*$AZ54</f>
        <v>0</v>
      </c>
      <c r="BG54" s="750">
        <f t="array" aca="1" ref="BG54" ca="1">SUM($K54:$V54*$BY54:$CJ54*$BK54:$BV54)*$AZ54*$BX54</f>
        <v>0</v>
      </c>
      <c r="BH54" s="750">
        <f t="array" aca="1" ref="BH54" ca="1">SUM($K54:$V54*$BY54:$CJ54*$BK54:$BV54)*(1-$BE54)*$AZ54*$BX54</f>
        <v>0</v>
      </c>
      <c r="BI54" s="754">
        <f t="shared" ca="1" si="22"/>
        <v>0</v>
      </c>
      <c r="BJ54" s="755" t="str">
        <f t="shared" ca="1" si="23"/>
        <v>Нет</v>
      </c>
      <c r="BK54" s="756">
        <f t="shared" ca="1" si="331"/>
        <v>1</v>
      </c>
      <c r="BL54" s="757">
        <f t="shared" ca="1" si="331"/>
        <v>1</v>
      </c>
      <c r="BM54" s="757">
        <f t="shared" ca="1" si="331"/>
        <v>1</v>
      </c>
      <c r="BN54" s="757">
        <f t="shared" ca="1" si="331"/>
        <v>1</v>
      </c>
      <c r="BO54" s="757">
        <f t="shared" ca="1" si="331"/>
        <v>1</v>
      </c>
      <c r="BP54" s="757">
        <f t="shared" ca="1" si="331"/>
        <v>1</v>
      </c>
      <c r="BQ54" s="757">
        <f t="shared" ca="1" si="331"/>
        <v>1</v>
      </c>
      <c r="BR54" s="757">
        <f t="shared" ca="1" si="331"/>
        <v>1</v>
      </c>
      <c r="BS54" s="757">
        <f t="shared" ca="1" si="331"/>
        <v>1</v>
      </c>
      <c r="BT54" s="757">
        <f t="shared" ca="1" si="331"/>
        <v>1</v>
      </c>
      <c r="BU54" s="757">
        <f t="shared" ca="1" si="331"/>
        <v>1</v>
      </c>
      <c r="BV54" s="758">
        <f t="shared" ca="1" si="331"/>
        <v>1</v>
      </c>
      <c r="BW54" s="749">
        <f t="shared" si="6"/>
        <v>4</v>
      </c>
      <c r="BX54" s="759">
        <f>IF($AN54="Ya",100%,100%+extraDelayZ)</f>
        <v>1</v>
      </c>
      <c r="BY54" s="760">
        <f t="shared" si="345"/>
        <v>1</v>
      </c>
      <c r="BZ54" s="761">
        <f t="shared" si="332"/>
        <v>1</v>
      </c>
      <c r="CA54" s="761">
        <f t="shared" si="333"/>
        <v>1</v>
      </c>
      <c r="CB54" s="761">
        <f t="shared" si="334"/>
        <v>1</v>
      </c>
      <c r="CC54" s="761">
        <f t="shared" si="335"/>
        <v>1</v>
      </c>
      <c r="CD54" s="761">
        <f t="shared" si="336"/>
        <v>1</v>
      </c>
      <c r="CE54" s="761">
        <f t="shared" si="337"/>
        <v>1</v>
      </c>
      <c r="CF54" s="761">
        <f t="shared" si="338"/>
        <v>1</v>
      </c>
      <c r="CG54" s="761">
        <f t="shared" si="339"/>
        <v>1</v>
      </c>
      <c r="CH54" s="761">
        <f t="shared" si="340"/>
        <v>1</v>
      </c>
      <c r="CI54" s="761">
        <f t="shared" si="341"/>
        <v>1</v>
      </c>
      <c r="CJ54" s="762">
        <f t="shared" si="342"/>
        <v>1</v>
      </c>
      <c r="CK54" s="763">
        <f t="array" ref="CK54">IF(ISERROR(SUM($K54:$V54*$BY54:$CJ54)/SUM($K54:$V54)),1,SUM($K54:$V54*$BY54:$CJ54)/SUM($K54:$V54))-1</f>
        <v>0</v>
      </c>
      <c r="CL54" s="726"/>
    </row>
    <row r="55" spans="1:90" s="727" customFormat="1" ht="12.75" hidden="1" outlineLevel="1" x14ac:dyDescent="0.2">
      <c r="A55" s="728"/>
      <c r="B55" s="729" t="str">
        <f t="shared" ca="1" si="7"/>
        <v>Look Alike, 728x90+240x400+300x250, динамика</v>
      </c>
      <c r="C55" s="730" t="str">
        <f t="shared" ca="1" si="343"/>
        <v>х1000</v>
      </c>
      <c r="D55" s="731">
        <f t="shared" ca="1" si="8"/>
        <v>200</v>
      </c>
      <c r="E55" s="731">
        <f t="shared" ca="1" si="9"/>
        <v>200</v>
      </c>
      <c r="F55" s="731">
        <f t="shared" ca="1" si="10"/>
        <v>200</v>
      </c>
      <c r="G55" s="732">
        <f t="shared" ca="1" si="11"/>
        <v>200</v>
      </c>
      <c r="H55" s="732">
        <f t="shared" ca="1" si="12"/>
        <v>200</v>
      </c>
      <c r="I55" s="732">
        <f t="shared" ca="1" si="13"/>
        <v>0</v>
      </c>
      <c r="J55" s="733">
        <f t="shared" ca="1" si="346"/>
        <v>0</v>
      </c>
      <c r="K55" s="734"/>
      <c r="L55" s="735"/>
      <c r="M55" s="735"/>
      <c r="N55" s="735"/>
      <c r="O55" s="735"/>
      <c r="P55" s="735"/>
      <c r="Q55" s="735"/>
      <c r="R55" s="735"/>
      <c r="S55" s="735"/>
      <c r="T55" s="735"/>
      <c r="U55" s="735"/>
      <c r="V55" s="736"/>
      <c r="W55" s="732">
        <f t="shared" ca="1" si="1"/>
        <v>0</v>
      </c>
      <c r="X55" s="732"/>
      <c r="Y55" s="737"/>
      <c r="Z55" s="738">
        <f t="shared" si="344"/>
        <v>0</v>
      </c>
      <c r="AA55" s="739"/>
      <c r="AB55" s="739"/>
      <c r="AC55" s="739"/>
      <c r="AD55" s="739"/>
      <c r="AE55" s="739"/>
      <c r="AF55" s="739"/>
      <c r="AG55" s="739"/>
      <c r="AH55" s="739"/>
      <c r="AI55" s="739"/>
      <c r="AJ55" s="739"/>
      <c r="AK55" s="739"/>
      <c r="AL55" s="739"/>
      <c r="AM55" s="740"/>
      <c r="AN55" s="741" t="s">
        <v>929</v>
      </c>
      <c r="AO55" s="741" t="str">
        <f t="shared" si="2"/>
        <v>ЯЗНАЮ</v>
      </c>
      <c r="AP55" s="742">
        <f t="shared" si="3"/>
        <v>12</v>
      </c>
      <c r="AQ55" s="743">
        <f t="shared" ca="1" si="14"/>
        <v>0</v>
      </c>
      <c r="AR55" s="743" t="str">
        <f t="shared" ca="1" si="14"/>
        <v>Вкл.</v>
      </c>
      <c r="AS55" s="744">
        <v>0</v>
      </c>
      <c r="AT55" s="745">
        <v>0</v>
      </c>
      <c r="AU55" s="746">
        <f t="shared" ca="1" si="15"/>
        <v>200</v>
      </c>
      <c r="AV55" s="747">
        <f t="shared" ca="1" si="16"/>
        <v>200</v>
      </c>
      <c r="AW55" s="748">
        <f t="shared" ca="1" si="17"/>
        <v>200</v>
      </c>
      <c r="AX55" s="749"/>
      <c r="AY55" s="749"/>
      <c r="AZ55" s="750">
        <f t="shared" ca="1" si="18"/>
        <v>200</v>
      </c>
      <c r="BA55" s="751">
        <f t="shared" ca="1" si="19"/>
        <v>200</v>
      </c>
      <c r="BB55" s="750">
        <f t="shared" ca="1" si="20"/>
        <v>1</v>
      </c>
      <c r="BC55" s="752" t="str">
        <f t="shared" ca="1" si="20"/>
        <v>1000 контактов</v>
      </c>
      <c r="BD55" s="745" t="str">
        <f t="shared" ca="1" si="21"/>
        <v>х1000</v>
      </c>
      <c r="BE55" s="753">
        <f t="shared" ca="1" si="4"/>
        <v>0</v>
      </c>
      <c r="BF55" s="750">
        <f t="array" aca="1" ref="BF55" ca="1">SUM($K55:$V55*$BK55:$BV55)*$AZ55</f>
        <v>0</v>
      </c>
      <c r="BG55" s="750">
        <f t="array" aca="1" ref="BG55" ca="1">SUM($K55:$V55*$BY55:$CJ55*$BK55:$BV55)*$AZ55*$BX55</f>
        <v>0</v>
      </c>
      <c r="BH55" s="750">
        <f t="array" aca="1" ref="BH55" ca="1">SUM($K55:$V55*$BY55:$CJ55*$BK55:$BV55)*(1-$BE55)*$AZ55*$BX55</f>
        <v>0</v>
      </c>
      <c r="BI55" s="754">
        <f t="shared" ca="1" si="22"/>
        <v>0</v>
      </c>
      <c r="BJ55" s="755" t="str">
        <f t="shared" ca="1" si="23"/>
        <v>Нет</v>
      </c>
      <c r="BK55" s="756">
        <f t="shared" ca="1" si="331"/>
        <v>1</v>
      </c>
      <c r="BL55" s="757">
        <f t="shared" ca="1" si="331"/>
        <v>1</v>
      </c>
      <c r="BM55" s="757">
        <f t="shared" ca="1" si="331"/>
        <v>1</v>
      </c>
      <c r="BN55" s="757">
        <f t="shared" ca="1" si="331"/>
        <v>1</v>
      </c>
      <c r="BO55" s="757">
        <f t="shared" ca="1" si="331"/>
        <v>1</v>
      </c>
      <c r="BP55" s="757">
        <f t="shared" ca="1" si="331"/>
        <v>1</v>
      </c>
      <c r="BQ55" s="757">
        <f t="shared" ca="1" si="331"/>
        <v>1</v>
      </c>
      <c r="BR55" s="757">
        <f t="shared" ca="1" si="331"/>
        <v>1</v>
      </c>
      <c r="BS55" s="757">
        <f t="shared" ca="1" si="331"/>
        <v>1</v>
      </c>
      <c r="BT55" s="757">
        <f t="shared" ca="1" si="331"/>
        <v>1</v>
      </c>
      <c r="BU55" s="757">
        <f t="shared" ca="1" si="331"/>
        <v>1</v>
      </c>
      <c r="BV55" s="758">
        <f t="shared" ca="1" si="331"/>
        <v>1</v>
      </c>
      <c r="BW55" s="749">
        <f t="shared" si="6"/>
        <v>5</v>
      </c>
      <c r="BX55" s="759">
        <f>IF($AN55="Ya",100%,100%+extraDelayZ)</f>
        <v>1</v>
      </c>
      <c r="BY55" s="760">
        <f t="shared" si="345"/>
        <v>1</v>
      </c>
      <c r="BZ55" s="761">
        <f t="shared" si="332"/>
        <v>1</v>
      </c>
      <c r="CA55" s="761">
        <f t="shared" si="333"/>
        <v>1</v>
      </c>
      <c r="CB55" s="761">
        <f t="shared" si="334"/>
        <v>1</v>
      </c>
      <c r="CC55" s="761">
        <f t="shared" si="335"/>
        <v>1</v>
      </c>
      <c r="CD55" s="761">
        <f t="shared" si="336"/>
        <v>1</v>
      </c>
      <c r="CE55" s="761">
        <f t="shared" si="337"/>
        <v>1</v>
      </c>
      <c r="CF55" s="761">
        <f t="shared" si="338"/>
        <v>1</v>
      </c>
      <c r="CG55" s="761">
        <f t="shared" si="339"/>
        <v>1</v>
      </c>
      <c r="CH55" s="761">
        <f t="shared" si="340"/>
        <v>1</v>
      </c>
      <c r="CI55" s="761">
        <f t="shared" si="341"/>
        <v>1</v>
      </c>
      <c r="CJ55" s="762">
        <f t="shared" si="342"/>
        <v>1</v>
      </c>
      <c r="CK55" s="763">
        <f t="array" ref="CK55">IF(ISERROR(SUM($K55:$V55*$BY55:$CJ55)/SUM($K55:$V55)),1,SUM($K55:$V55*$BY55:$CJ55)/SUM($K55:$V55))-1</f>
        <v>0</v>
      </c>
      <c r="CL55" s="726"/>
    </row>
    <row r="56" spans="1:90" s="727" customFormat="1" ht="12.75" hidden="1" outlineLevel="1" x14ac:dyDescent="0.2">
      <c r="A56" s="728"/>
      <c r="B56" s="729" t="str">
        <f t="shared" ca="1" si="7"/>
        <v>Ретаргетинг: поисковый,  поведенческий, с сайта, 728х90+240х400+300х250, динамика</v>
      </c>
      <c r="C56" s="730" t="str">
        <f t="shared" ca="1" si="343"/>
        <v>х1000</v>
      </c>
      <c r="D56" s="731">
        <f t="shared" ca="1" si="8"/>
        <v>200</v>
      </c>
      <c r="E56" s="731">
        <f t="shared" ca="1" si="9"/>
        <v>200</v>
      </c>
      <c r="F56" s="731">
        <f t="shared" ca="1" si="10"/>
        <v>200</v>
      </c>
      <c r="G56" s="732">
        <f t="shared" ca="1" si="11"/>
        <v>200</v>
      </c>
      <c r="H56" s="732">
        <f t="shared" ca="1" si="12"/>
        <v>200</v>
      </c>
      <c r="I56" s="732">
        <f t="shared" ca="1" si="13"/>
        <v>0</v>
      </c>
      <c r="J56" s="733">
        <f t="shared" ca="1" si="346"/>
        <v>0</v>
      </c>
      <c r="K56" s="734"/>
      <c r="L56" s="735"/>
      <c r="M56" s="735"/>
      <c r="N56" s="735"/>
      <c r="O56" s="735"/>
      <c r="P56" s="735"/>
      <c r="Q56" s="735"/>
      <c r="R56" s="735"/>
      <c r="S56" s="735"/>
      <c r="T56" s="735"/>
      <c r="U56" s="735"/>
      <c r="V56" s="736"/>
      <c r="W56" s="732">
        <f t="shared" ca="1" si="1"/>
        <v>0</v>
      </c>
      <c r="X56" s="732"/>
      <c r="Y56" s="737"/>
      <c r="Z56" s="738">
        <f t="shared" si="344"/>
        <v>0</v>
      </c>
      <c r="AA56" s="739"/>
      <c r="AB56" s="739"/>
      <c r="AC56" s="739"/>
      <c r="AD56" s="739"/>
      <c r="AE56" s="739"/>
      <c r="AF56" s="739"/>
      <c r="AG56" s="739"/>
      <c r="AH56" s="739"/>
      <c r="AI56" s="739"/>
      <c r="AJ56" s="739"/>
      <c r="AK56" s="739"/>
      <c r="AL56" s="739"/>
      <c r="AM56" s="740"/>
      <c r="AN56" s="741" t="s">
        <v>931</v>
      </c>
      <c r="AO56" s="741" t="str">
        <f t="shared" si="2"/>
        <v>ЯЗНАЮ</v>
      </c>
      <c r="AP56" s="742">
        <f t="shared" si="3"/>
        <v>12</v>
      </c>
      <c r="AQ56" s="743">
        <f t="shared" ca="1" si="14"/>
        <v>0</v>
      </c>
      <c r="AR56" s="743" t="str">
        <f t="shared" ca="1" si="14"/>
        <v>Вкл.</v>
      </c>
      <c r="AS56" s="744">
        <v>0</v>
      </c>
      <c r="AT56" s="745">
        <v>0</v>
      </c>
      <c r="AU56" s="746">
        <f t="shared" ca="1" si="15"/>
        <v>200</v>
      </c>
      <c r="AV56" s="747">
        <f t="shared" ca="1" si="16"/>
        <v>200</v>
      </c>
      <c r="AW56" s="748">
        <f t="shared" ca="1" si="17"/>
        <v>200</v>
      </c>
      <c r="AX56" s="749"/>
      <c r="AY56" s="749"/>
      <c r="AZ56" s="750">
        <f t="shared" ca="1" si="18"/>
        <v>200</v>
      </c>
      <c r="BA56" s="751">
        <f t="shared" ca="1" si="19"/>
        <v>200</v>
      </c>
      <c r="BB56" s="750">
        <f t="shared" ca="1" si="20"/>
        <v>1</v>
      </c>
      <c r="BC56" s="752" t="str">
        <f t="shared" ca="1" si="20"/>
        <v>1000 контактов</v>
      </c>
      <c r="BD56" s="745" t="str">
        <f t="shared" ca="1" si="21"/>
        <v>х1000</v>
      </c>
      <c r="BE56" s="753">
        <f t="shared" ca="1" si="4"/>
        <v>0</v>
      </c>
      <c r="BF56" s="750">
        <f t="array" aca="1" ref="BF56" ca="1">SUM($K56:$V56*$BK56:$BV56)*$AZ56</f>
        <v>0</v>
      </c>
      <c r="BG56" s="750">
        <f t="array" aca="1" ref="BG56" ca="1">SUM($K56:$V56*$BY56:$CJ56*$BK56:$BV56)*$AZ56*$BX56</f>
        <v>0</v>
      </c>
      <c r="BH56" s="750">
        <f t="array" aca="1" ref="BH56" ca="1">SUM($K56:$V56*$BY56:$CJ56*$BK56:$BV56)*(1-$BE56)*$AZ56*$BX56</f>
        <v>0</v>
      </c>
      <c r="BI56" s="754">
        <f t="shared" ca="1" si="22"/>
        <v>0</v>
      </c>
      <c r="BJ56" s="755" t="str">
        <f t="shared" ca="1" si="23"/>
        <v>Нет</v>
      </c>
      <c r="BK56" s="756">
        <f t="shared" ca="1" si="331"/>
        <v>1</v>
      </c>
      <c r="BL56" s="757">
        <f t="shared" ca="1" si="331"/>
        <v>1</v>
      </c>
      <c r="BM56" s="757">
        <f t="shared" ca="1" si="331"/>
        <v>1</v>
      </c>
      <c r="BN56" s="757">
        <f t="shared" ca="1" si="331"/>
        <v>1</v>
      </c>
      <c r="BO56" s="757">
        <f t="shared" ca="1" si="331"/>
        <v>1</v>
      </c>
      <c r="BP56" s="757">
        <f t="shared" ca="1" si="331"/>
        <v>1</v>
      </c>
      <c r="BQ56" s="757">
        <f t="shared" ca="1" si="331"/>
        <v>1</v>
      </c>
      <c r="BR56" s="757">
        <f t="shared" ca="1" si="331"/>
        <v>1</v>
      </c>
      <c r="BS56" s="757">
        <f t="shared" ca="1" si="331"/>
        <v>1</v>
      </c>
      <c r="BT56" s="757">
        <f t="shared" ca="1" si="331"/>
        <v>1</v>
      </c>
      <c r="BU56" s="757">
        <f t="shared" ca="1" si="331"/>
        <v>1</v>
      </c>
      <c r="BV56" s="758">
        <f t="shared" ca="1" si="331"/>
        <v>1</v>
      </c>
      <c r="BW56" s="749">
        <f t="shared" si="6"/>
        <v>6</v>
      </c>
      <c r="BX56" s="759">
        <f>IF($AN56="Ya",100%,100%+extraDelayZ)</f>
        <v>1</v>
      </c>
      <c r="BY56" s="760">
        <f t="shared" si="345"/>
        <v>1</v>
      </c>
      <c r="BZ56" s="761">
        <f t="shared" si="332"/>
        <v>1</v>
      </c>
      <c r="CA56" s="761">
        <f t="shared" si="333"/>
        <v>1</v>
      </c>
      <c r="CB56" s="761">
        <f t="shared" si="334"/>
        <v>1</v>
      </c>
      <c r="CC56" s="761">
        <f t="shared" si="335"/>
        <v>1</v>
      </c>
      <c r="CD56" s="761">
        <f t="shared" si="336"/>
        <v>1</v>
      </c>
      <c r="CE56" s="761">
        <f t="shared" si="337"/>
        <v>1</v>
      </c>
      <c r="CF56" s="761">
        <f t="shared" si="338"/>
        <v>1</v>
      </c>
      <c r="CG56" s="761">
        <f t="shared" si="339"/>
        <v>1</v>
      </c>
      <c r="CH56" s="761">
        <f t="shared" si="340"/>
        <v>1</v>
      </c>
      <c r="CI56" s="761">
        <f t="shared" si="341"/>
        <v>1</v>
      </c>
      <c r="CJ56" s="762">
        <f t="shared" si="342"/>
        <v>1</v>
      </c>
      <c r="CK56" s="763">
        <f t="array" ref="CK56">IF(ISERROR(SUM($K56:$V56*$BY56:$CJ56)/SUM($K56:$V56)),1,SUM($K56:$V56*$BY56:$CJ56)/SUM($K56:$V56))-1</f>
        <v>0</v>
      </c>
      <c r="CL56" s="726"/>
    </row>
    <row r="57" spans="1:90" s="727" customFormat="1" ht="12.75" hidden="1" outlineLevel="1" x14ac:dyDescent="0.2">
      <c r="A57" s="728"/>
      <c r="B57" s="729" t="str">
        <f t="shared" ca="1" si="7"/>
        <v>Соц-дем таргетинг, Пакет "Охват 15 000К", 728х90+240х400+300х250</v>
      </c>
      <c r="C57" s="730" t="str">
        <f t="shared" ca="1" si="343"/>
        <v>Пакет</v>
      </c>
      <c r="D57" s="731">
        <f t="shared" ca="1" si="8"/>
        <v>150</v>
      </c>
      <c r="E57" s="731">
        <f t="shared" ca="1" si="9"/>
        <v>150</v>
      </c>
      <c r="F57" s="731">
        <f t="shared" ca="1" si="10"/>
        <v>150</v>
      </c>
      <c r="G57" s="732">
        <f t="shared" ca="1" si="11"/>
        <v>2250000</v>
      </c>
      <c r="H57" s="732">
        <f t="shared" ca="1" si="12"/>
        <v>2250000</v>
      </c>
      <c r="I57" s="732">
        <f t="shared" ca="1" si="13"/>
        <v>0</v>
      </c>
      <c r="J57" s="733">
        <f t="shared" ca="1" si="346"/>
        <v>0</v>
      </c>
      <c r="K57" s="734"/>
      <c r="L57" s="735"/>
      <c r="M57" s="735"/>
      <c r="N57" s="735"/>
      <c r="O57" s="735"/>
      <c r="P57" s="735"/>
      <c r="Q57" s="735"/>
      <c r="R57" s="735"/>
      <c r="S57" s="735"/>
      <c r="T57" s="735"/>
      <c r="U57" s="735"/>
      <c r="V57" s="736"/>
      <c r="W57" s="732">
        <f t="shared" ca="1" si="1"/>
        <v>0</v>
      </c>
      <c r="X57" s="732"/>
      <c r="Y57" s="737"/>
      <c r="Z57" s="738">
        <f t="shared" si="344"/>
        <v>0</v>
      </c>
      <c r="AA57" s="739"/>
      <c r="AB57" s="739"/>
      <c r="AC57" s="739"/>
      <c r="AD57" s="739"/>
      <c r="AE57" s="739"/>
      <c r="AF57" s="739"/>
      <c r="AG57" s="739"/>
      <c r="AH57" s="739"/>
      <c r="AI57" s="739"/>
      <c r="AJ57" s="739"/>
      <c r="AK57" s="739"/>
      <c r="AL57" s="739"/>
      <c r="AM57" s="740"/>
      <c r="AN57" s="741" t="s">
        <v>929</v>
      </c>
      <c r="AO57" s="741" t="str">
        <f t="shared" si="2"/>
        <v>ЯЗНАЮ</v>
      </c>
      <c r="AP57" s="742">
        <f t="shared" si="3"/>
        <v>12</v>
      </c>
      <c r="AQ57" s="743">
        <f t="shared" ca="1" si="14"/>
        <v>0</v>
      </c>
      <c r="AR57" s="743" t="str">
        <f t="shared" ca="1" si="14"/>
        <v>Вкл.</v>
      </c>
      <c r="AS57" s="744">
        <v>0</v>
      </c>
      <c r="AT57" s="745">
        <v>0</v>
      </c>
      <c r="AU57" s="746">
        <f t="shared" ca="1" si="15"/>
        <v>150</v>
      </c>
      <c r="AV57" s="747">
        <f t="shared" ca="1" si="16"/>
        <v>150</v>
      </c>
      <c r="AW57" s="748">
        <f t="shared" ca="1" si="17"/>
        <v>150</v>
      </c>
      <c r="AX57" s="749"/>
      <c r="AY57" s="749"/>
      <c r="AZ57" s="750">
        <f t="shared" ca="1" si="18"/>
        <v>2250000</v>
      </c>
      <c r="BA57" s="751">
        <f t="shared" ca="1" si="19"/>
        <v>2250000</v>
      </c>
      <c r="BB57" s="750">
        <f t="shared" ca="1" si="20"/>
        <v>15000</v>
      </c>
      <c r="BC57" s="752" t="str">
        <f t="shared" ca="1" si="20"/>
        <v>Пакет</v>
      </c>
      <c r="BD57" s="745" t="str">
        <f t="shared" ca="1" si="21"/>
        <v>Пакет</v>
      </c>
      <c r="BE57" s="753">
        <f t="shared" ca="1" si="4"/>
        <v>0</v>
      </c>
      <c r="BF57" s="750">
        <f t="array" aca="1" ref="BF57" ca="1">SUM($K57:$V57*$BK57:$BV57)*$AZ57</f>
        <v>0</v>
      </c>
      <c r="BG57" s="750">
        <f t="array" aca="1" ref="BG57" ca="1">SUM($K57:$V57*$BY57:$CJ57*$BK57:$BV57)*$AZ57*$BX57</f>
        <v>0</v>
      </c>
      <c r="BH57" s="750">
        <f t="array" aca="1" ref="BH57" ca="1">SUM($K57:$V57*$BY57:$CJ57*$BK57:$BV57)*(1-$BE57)*$AZ57*$BX57</f>
        <v>0</v>
      </c>
      <c r="BI57" s="754">
        <f t="shared" ca="1" si="22"/>
        <v>0</v>
      </c>
      <c r="BJ57" s="755" t="str">
        <f t="shared" ca="1" si="23"/>
        <v>Нет</v>
      </c>
      <c r="BK57" s="756">
        <f t="shared" ca="1" si="331"/>
        <v>1</v>
      </c>
      <c r="BL57" s="757">
        <f t="shared" ca="1" si="331"/>
        <v>1</v>
      </c>
      <c r="BM57" s="757">
        <f t="shared" ca="1" si="331"/>
        <v>1</v>
      </c>
      <c r="BN57" s="757">
        <f t="shared" ca="1" si="331"/>
        <v>1</v>
      </c>
      <c r="BO57" s="757">
        <f t="shared" ca="1" si="331"/>
        <v>1</v>
      </c>
      <c r="BP57" s="757">
        <f t="shared" ca="1" si="331"/>
        <v>1</v>
      </c>
      <c r="BQ57" s="757">
        <f t="shared" ca="1" si="331"/>
        <v>1</v>
      </c>
      <c r="BR57" s="757">
        <f t="shared" ca="1" si="331"/>
        <v>1</v>
      </c>
      <c r="BS57" s="757">
        <f t="shared" ca="1" si="331"/>
        <v>1</v>
      </c>
      <c r="BT57" s="757">
        <f t="shared" ca="1" si="331"/>
        <v>1</v>
      </c>
      <c r="BU57" s="757">
        <f t="shared" ca="1" si="331"/>
        <v>1</v>
      </c>
      <c r="BV57" s="758">
        <f t="shared" ca="1" si="331"/>
        <v>1</v>
      </c>
      <c r="BW57" s="749">
        <f t="shared" si="6"/>
        <v>7</v>
      </c>
      <c r="BX57" s="759">
        <f>IF($AN57="Ya",100%,100%+extraDelayZ)</f>
        <v>1</v>
      </c>
      <c r="BY57" s="760">
        <f t="shared" si="345"/>
        <v>1</v>
      </c>
      <c r="BZ57" s="761">
        <f t="shared" si="332"/>
        <v>1</v>
      </c>
      <c r="CA57" s="761">
        <f t="shared" si="333"/>
        <v>1</v>
      </c>
      <c r="CB57" s="761">
        <f t="shared" si="334"/>
        <v>1</v>
      </c>
      <c r="CC57" s="761">
        <f t="shared" si="335"/>
        <v>1</v>
      </c>
      <c r="CD57" s="761">
        <f t="shared" si="336"/>
        <v>1</v>
      </c>
      <c r="CE57" s="761">
        <f t="shared" si="337"/>
        <v>1</v>
      </c>
      <c r="CF57" s="761">
        <f t="shared" si="338"/>
        <v>1</v>
      </c>
      <c r="CG57" s="761">
        <f t="shared" si="339"/>
        <v>1</v>
      </c>
      <c r="CH57" s="761">
        <f t="shared" si="340"/>
        <v>1</v>
      </c>
      <c r="CI57" s="761">
        <f t="shared" si="341"/>
        <v>1</v>
      </c>
      <c r="CJ57" s="762">
        <f t="shared" si="342"/>
        <v>1</v>
      </c>
      <c r="CK57" s="763">
        <f t="array" ref="CK57">IF(ISERROR(SUM($K57:$V57*$BY57:$CJ57)/SUM($K57:$V57)),1,SUM($K57:$V57*$BY57:$CJ57)/SUM($K57:$V57))-1</f>
        <v>0</v>
      </c>
      <c r="CL57" s="726"/>
    </row>
    <row r="58" spans="1:90" s="727" customFormat="1" ht="12.75" hidden="1" outlineLevel="1" x14ac:dyDescent="0.2">
      <c r="A58" s="728"/>
      <c r="B58" s="729" t="str">
        <f t="shared" ca="1" si="7"/>
        <v>Таргетинг по интересам, Пакет "Охват 15 000К", 728х90+240х400+300х250</v>
      </c>
      <c r="C58" s="730" t="str">
        <f t="shared" ca="1" si="343"/>
        <v>Пакет</v>
      </c>
      <c r="D58" s="731">
        <f t="shared" ca="1" si="8"/>
        <v>150</v>
      </c>
      <c r="E58" s="731">
        <f t="shared" ca="1" si="9"/>
        <v>150</v>
      </c>
      <c r="F58" s="731">
        <f t="shared" ca="1" si="10"/>
        <v>150</v>
      </c>
      <c r="G58" s="732">
        <f t="shared" ca="1" si="11"/>
        <v>2250000</v>
      </c>
      <c r="H58" s="732">
        <f t="shared" ca="1" si="12"/>
        <v>2250000</v>
      </c>
      <c r="I58" s="732">
        <f t="shared" ca="1" si="13"/>
        <v>0</v>
      </c>
      <c r="J58" s="733">
        <f t="shared" ca="1" si="346"/>
        <v>0</v>
      </c>
      <c r="K58" s="734"/>
      <c r="L58" s="735"/>
      <c r="M58" s="735"/>
      <c r="N58" s="735"/>
      <c r="O58" s="735"/>
      <c r="P58" s="735"/>
      <c r="Q58" s="735"/>
      <c r="R58" s="735"/>
      <c r="S58" s="735"/>
      <c r="T58" s="735"/>
      <c r="U58" s="735"/>
      <c r="V58" s="736"/>
      <c r="W58" s="732">
        <f t="shared" ca="1" si="1"/>
        <v>0</v>
      </c>
      <c r="X58" s="732"/>
      <c r="Y58" s="737"/>
      <c r="Z58" s="738">
        <f t="shared" si="344"/>
        <v>0</v>
      </c>
      <c r="AA58" s="739"/>
      <c r="AB58" s="739"/>
      <c r="AC58" s="739"/>
      <c r="AD58" s="739"/>
      <c r="AE58" s="739"/>
      <c r="AF58" s="739"/>
      <c r="AG58" s="739"/>
      <c r="AH58" s="739"/>
      <c r="AI58" s="739"/>
      <c r="AJ58" s="739"/>
      <c r="AK58" s="739"/>
      <c r="AL58" s="739"/>
      <c r="AM58" s="740"/>
      <c r="AN58" s="741" t="s">
        <v>929</v>
      </c>
      <c r="AO58" s="741" t="str">
        <f t="shared" si="2"/>
        <v>ЯЗНАЮ</v>
      </c>
      <c r="AP58" s="742">
        <f t="shared" si="3"/>
        <v>12</v>
      </c>
      <c r="AQ58" s="743">
        <f t="shared" ca="1" si="14"/>
        <v>0</v>
      </c>
      <c r="AR58" s="743" t="str">
        <f t="shared" ca="1" si="14"/>
        <v>Вкл.</v>
      </c>
      <c r="AS58" s="744">
        <v>0</v>
      </c>
      <c r="AT58" s="745">
        <v>0</v>
      </c>
      <c r="AU58" s="746">
        <f t="shared" ca="1" si="15"/>
        <v>150</v>
      </c>
      <c r="AV58" s="747">
        <f t="shared" ca="1" si="16"/>
        <v>150</v>
      </c>
      <c r="AW58" s="748">
        <f t="shared" ca="1" si="17"/>
        <v>150</v>
      </c>
      <c r="AX58" s="749"/>
      <c r="AY58" s="749"/>
      <c r="AZ58" s="750">
        <f t="shared" ca="1" si="18"/>
        <v>2250000</v>
      </c>
      <c r="BA58" s="751">
        <f t="shared" ca="1" si="19"/>
        <v>2250000</v>
      </c>
      <c r="BB58" s="750">
        <f t="shared" ca="1" si="20"/>
        <v>15000</v>
      </c>
      <c r="BC58" s="752" t="str">
        <f t="shared" ca="1" si="20"/>
        <v>Пакет</v>
      </c>
      <c r="BD58" s="745" t="str">
        <f t="shared" ca="1" si="21"/>
        <v>Пакет</v>
      </c>
      <c r="BE58" s="753">
        <f t="shared" ca="1" si="4"/>
        <v>0</v>
      </c>
      <c r="BF58" s="750">
        <f t="array" aca="1" ref="BF58" ca="1">SUM($K58:$V58*$BK58:$BV58)*$AZ58</f>
        <v>0</v>
      </c>
      <c r="BG58" s="750">
        <f t="array" aca="1" ref="BG58" ca="1">SUM($K58:$V58*$BY58:$CJ58*$BK58:$BV58)*$AZ58*$BX58</f>
        <v>0</v>
      </c>
      <c r="BH58" s="750">
        <f t="array" aca="1" ref="BH58" ca="1">SUM($K58:$V58*$BY58:$CJ58*$BK58:$BV58)*(1-$BE58)*$AZ58*$BX58</f>
        <v>0</v>
      </c>
      <c r="BI58" s="754">
        <f t="shared" ca="1" si="22"/>
        <v>0</v>
      </c>
      <c r="BJ58" s="755" t="str">
        <f t="shared" ca="1" si="23"/>
        <v>Нет</v>
      </c>
      <c r="BK58" s="756">
        <f t="shared" ca="1" si="331"/>
        <v>1</v>
      </c>
      <c r="BL58" s="757">
        <f t="shared" ca="1" si="331"/>
        <v>1</v>
      </c>
      <c r="BM58" s="757">
        <f t="shared" ca="1" si="331"/>
        <v>1</v>
      </c>
      <c r="BN58" s="757">
        <f t="shared" ca="1" si="331"/>
        <v>1</v>
      </c>
      <c r="BO58" s="757">
        <f t="shared" ca="1" si="331"/>
        <v>1</v>
      </c>
      <c r="BP58" s="757">
        <f t="shared" ca="1" si="331"/>
        <v>1</v>
      </c>
      <c r="BQ58" s="757">
        <f t="shared" ca="1" si="331"/>
        <v>1</v>
      </c>
      <c r="BR58" s="757">
        <f t="shared" ca="1" si="331"/>
        <v>1</v>
      </c>
      <c r="BS58" s="757">
        <f t="shared" ca="1" si="331"/>
        <v>1</v>
      </c>
      <c r="BT58" s="757">
        <f t="shared" ca="1" si="331"/>
        <v>1</v>
      </c>
      <c r="BU58" s="757">
        <f t="shared" ca="1" si="331"/>
        <v>1</v>
      </c>
      <c r="BV58" s="758">
        <f t="shared" ca="1" si="331"/>
        <v>1</v>
      </c>
      <c r="BW58" s="749">
        <f t="shared" si="6"/>
        <v>8</v>
      </c>
      <c r="BX58" s="759">
        <f>IF($AN58="Ya",100%,100%+extraDelayZ)</f>
        <v>1</v>
      </c>
      <c r="BY58" s="760">
        <f t="shared" si="345"/>
        <v>1</v>
      </c>
      <c r="BZ58" s="761">
        <f t="shared" si="332"/>
        <v>1</v>
      </c>
      <c r="CA58" s="761">
        <f t="shared" si="333"/>
        <v>1</v>
      </c>
      <c r="CB58" s="761">
        <f t="shared" si="334"/>
        <v>1</v>
      </c>
      <c r="CC58" s="761">
        <f t="shared" si="335"/>
        <v>1</v>
      </c>
      <c r="CD58" s="761">
        <f t="shared" si="336"/>
        <v>1</v>
      </c>
      <c r="CE58" s="761">
        <f t="shared" si="337"/>
        <v>1</v>
      </c>
      <c r="CF58" s="761">
        <f t="shared" si="338"/>
        <v>1</v>
      </c>
      <c r="CG58" s="761">
        <f t="shared" si="339"/>
        <v>1</v>
      </c>
      <c r="CH58" s="761">
        <f t="shared" si="340"/>
        <v>1</v>
      </c>
      <c r="CI58" s="761">
        <f t="shared" si="341"/>
        <v>1</v>
      </c>
      <c r="CJ58" s="762">
        <f t="shared" si="342"/>
        <v>1</v>
      </c>
      <c r="CK58" s="763">
        <f t="array" ref="CK58">IF(ISERROR(SUM($K58:$V58*$BY58:$CJ58)/SUM($K58:$V58)),1,SUM($K58:$V58*$BY58:$CJ58)/SUM($K58:$V58))-1</f>
        <v>0</v>
      </c>
      <c r="CL58" s="726"/>
    </row>
    <row r="59" spans="1:90" s="727" customFormat="1" ht="12.75" hidden="1" outlineLevel="1" x14ac:dyDescent="0.2">
      <c r="A59" s="728"/>
      <c r="B59" s="729" t="str">
        <f t="shared" ca="1" si="7"/>
        <v>Light Tv Viewers, Пакет "Охват 15 000К", 728х90+240х400+300х250</v>
      </c>
      <c r="C59" s="730" t="str">
        <f t="shared" ca="1" si="343"/>
        <v>Пакет</v>
      </c>
      <c r="D59" s="731">
        <f t="shared" ca="1" si="8"/>
        <v>150</v>
      </c>
      <c r="E59" s="731">
        <f t="shared" ca="1" si="9"/>
        <v>150</v>
      </c>
      <c r="F59" s="731">
        <f t="shared" ca="1" si="10"/>
        <v>150</v>
      </c>
      <c r="G59" s="732">
        <f t="shared" ca="1" si="11"/>
        <v>2250000</v>
      </c>
      <c r="H59" s="732">
        <f t="shared" ca="1" si="12"/>
        <v>2250000</v>
      </c>
      <c r="I59" s="732">
        <f t="shared" ca="1" si="13"/>
        <v>0</v>
      </c>
      <c r="J59" s="733">
        <f t="shared" ca="1" si="346"/>
        <v>0</v>
      </c>
      <c r="K59" s="734"/>
      <c r="L59" s="735"/>
      <c r="M59" s="735"/>
      <c r="N59" s="735"/>
      <c r="O59" s="735"/>
      <c r="P59" s="735"/>
      <c r="Q59" s="735"/>
      <c r="R59" s="735"/>
      <c r="S59" s="735"/>
      <c r="T59" s="735"/>
      <c r="U59" s="735"/>
      <c r="V59" s="736"/>
      <c r="W59" s="732">
        <f t="shared" ca="1" si="1"/>
        <v>0</v>
      </c>
      <c r="X59" s="732"/>
      <c r="Y59" s="737"/>
      <c r="Z59" s="738">
        <f t="shared" si="344"/>
        <v>0</v>
      </c>
      <c r="AA59" s="739"/>
      <c r="AB59" s="739"/>
      <c r="AC59" s="739"/>
      <c r="AD59" s="739"/>
      <c r="AE59" s="739"/>
      <c r="AF59" s="739"/>
      <c r="AG59" s="739"/>
      <c r="AH59" s="739"/>
      <c r="AI59" s="739"/>
      <c r="AJ59" s="739"/>
      <c r="AK59" s="739"/>
      <c r="AL59" s="739"/>
      <c r="AM59" s="740"/>
      <c r="AN59" s="741" t="s">
        <v>929</v>
      </c>
      <c r="AO59" s="741" t="str">
        <f t="shared" si="2"/>
        <v>ЯЗНАЮ</v>
      </c>
      <c r="AP59" s="742">
        <f t="shared" si="3"/>
        <v>12</v>
      </c>
      <c r="AQ59" s="743">
        <f t="shared" ca="1" si="14"/>
        <v>0</v>
      </c>
      <c r="AR59" s="743" t="str">
        <f t="shared" ca="1" si="14"/>
        <v>Вкл.</v>
      </c>
      <c r="AS59" s="744">
        <v>0</v>
      </c>
      <c r="AT59" s="745">
        <v>0</v>
      </c>
      <c r="AU59" s="746">
        <f t="shared" ca="1" si="15"/>
        <v>150</v>
      </c>
      <c r="AV59" s="747">
        <f t="shared" ca="1" si="16"/>
        <v>150</v>
      </c>
      <c r="AW59" s="748">
        <f t="shared" ca="1" si="17"/>
        <v>150</v>
      </c>
      <c r="AX59" s="749"/>
      <c r="AY59" s="749"/>
      <c r="AZ59" s="750">
        <f t="shared" ca="1" si="18"/>
        <v>2250000</v>
      </c>
      <c r="BA59" s="751">
        <f t="shared" ca="1" si="19"/>
        <v>2250000</v>
      </c>
      <c r="BB59" s="750">
        <f t="shared" ca="1" si="20"/>
        <v>15000</v>
      </c>
      <c r="BC59" s="752" t="str">
        <f t="shared" ca="1" si="20"/>
        <v>Пакет</v>
      </c>
      <c r="BD59" s="745" t="str">
        <f t="shared" ca="1" si="21"/>
        <v>Пакет</v>
      </c>
      <c r="BE59" s="753">
        <f t="shared" ca="1" si="4"/>
        <v>0</v>
      </c>
      <c r="BF59" s="750">
        <f t="array" aca="1" ref="BF59" ca="1">SUM($K59:$V59*$BK59:$BV59)*$AZ59</f>
        <v>0</v>
      </c>
      <c r="BG59" s="750">
        <f t="array" aca="1" ref="BG59" ca="1">SUM($K59:$V59*$BY59:$CJ59*$BK59:$BV59)*$AZ59*$BX59</f>
        <v>0</v>
      </c>
      <c r="BH59" s="750">
        <f t="array" aca="1" ref="BH59" ca="1">SUM($K59:$V59*$BY59:$CJ59*$BK59:$BV59)*(1-$BE59)*$AZ59*$BX59</f>
        <v>0</v>
      </c>
      <c r="BI59" s="754">
        <f t="shared" ca="1" si="22"/>
        <v>0</v>
      </c>
      <c r="BJ59" s="755" t="str">
        <f t="shared" ca="1" si="23"/>
        <v>Нет</v>
      </c>
      <c r="BK59" s="756">
        <f t="shared" ca="1" si="331"/>
        <v>1</v>
      </c>
      <c r="BL59" s="757">
        <f t="shared" ca="1" si="331"/>
        <v>1</v>
      </c>
      <c r="BM59" s="757">
        <f t="shared" ca="1" si="331"/>
        <v>1</v>
      </c>
      <c r="BN59" s="757">
        <f t="shared" ca="1" si="331"/>
        <v>1</v>
      </c>
      <c r="BO59" s="757">
        <f t="shared" ca="1" si="331"/>
        <v>1</v>
      </c>
      <c r="BP59" s="757">
        <f t="shared" ca="1" si="331"/>
        <v>1</v>
      </c>
      <c r="BQ59" s="757">
        <f t="shared" ca="1" si="331"/>
        <v>1</v>
      </c>
      <c r="BR59" s="757">
        <f t="shared" ca="1" si="331"/>
        <v>1</v>
      </c>
      <c r="BS59" s="757">
        <f t="shared" ca="1" si="331"/>
        <v>1</v>
      </c>
      <c r="BT59" s="757">
        <f t="shared" ca="1" si="331"/>
        <v>1</v>
      </c>
      <c r="BU59" s="757">
        <f t="shared" ca="1" si="331"/>
        <v>1</v>
      </c>
      <c r="BV59" s="758">
        <f t="shared" ca="1" si="331"/>
        <v>1</v>
      </c>
      <c r="BW59" s="749">
        <f t="shared" si="6"/>
        <v>9</v>
      </c>
      <c r="BX59" s="759">
        <f>IF($AN59="Ya",100%,100%+extraDelayZ)</f>
        <v>1</v>
      </c>
      <c r="BY59" s="760">
        <f t="shared" si="345"/>
        <v>1</v>
      </c>
      <c r="BZ59" s="761">
        <f t="shared" si="332"/>
        <v>1</v>
      </c>
      <c r="CA59" s="761">
        <f t="shared" si="333"/>
        <v>1</v>
      </c>
      <c r="CB59" s="761">
        <f t="shared" si="334"/>
        <v>1</v>
      </c>
      <c r="CC59" s="761">
        <f t="shared" si="335"/>
        <v>1</v>
      </c>
      <c r="CD59" s="761">
        <f t="shared" si="336"/>
        <v>1</v>
      </c>
      <c r="CE59" s="761">
        <f t="shared" si="337"/>
        <v>1</v>
      </c>
      <c r="CF59" s="761">
        <f t="shared" si="338"/>
        <v>1</v>
      </c>
      <c r="CG59" s="761">
        <f t="shared" si="339"/>
        <v>1</v>
      </c>
      <c r="CH59" s="761">
        <f t="shared" si="340"/>
        <v>1</v>
      </c>
      <c r="CI59" s="761">
        <f t="shared" si="341"/>
        <v>1</v>
      </c>
      <c r="CJ59" s="762">
        <f t="shared" si="342"/>
        <v>1</v>
      </c>
      <c r="CK59" s="763">
        <f t="array" ref="CK59">IF(ISERROR(SUM($K59:$V59*$BY59:$CJ59)/SUM($K59:$V59)),1,SUM($K59:$V59*$BY59:$CJ59)/SUM($K59:$V59))-1</f>
        <v>0</v>
      </c>
      <c r="CL59" s="726"/>
    </row>
    <row r="60" spans="1:90" s="727" customFormat="1" ht="12.75" hidden="1" outlineLevel="1" x14ac:dyDescent="0.2">
      <c r="A60" s="728"/>
      <c r="B60" s="729" t="str">
        <f t="shared" ca="1" si="7"/>
        <v>Авто/FMCG/ IT-Mobile/Развлечения/Занятость, 728х90+240х400+300х250, динамика</v>
      </c>
      <c r="C60" s="730" t="str">
        <f t="shared" ca="1" si="343"/>
        <v>х1000</v>
      </c>
      <c r="D60" s="731">
        <f t="shared" ca="1" si="8"/>
        <v>300</v>
      </c>
      <c r="E60" s="731">
        <f t="shared" ca="1" si="9"/>
        <v>300</v>
      </c>
      <c r="F60" s="731">
        <f t="shared" ca="1" si="10"/>
        <v>300</v>
      </c>
      <c r="G60" s="732">
        <f t="shared" ca="1" si="11"/>
        <v>300</v>
      </c>
      <c r="H60" s="732">
        <f t="shared" ca="1" si="12"/>
        <v>300</v>
      </c>
      <c r="I60" s="732">
        <f t="shared" ca="1" si="13"/>
        <v>0</v>
      </c>
      <c r="J60" s="733">
        <f t="shared" ca="1" si="346"/>
        <v>0</v>
      </c>
      <c r="K60" s="734"/>
      <c r="L60" s="735"/>
      <c r="M60" s="735"/>
      <c r="N60" s="735"/>
      <c r="O60" s="735"/>
      <c r="P60" s="735"/>
      <c r="Q60" s="735"/>
      <c r="R60" s="735"/>
      <c r="S60" s="735"/>
      <c r="T60" s="735"/>
      <c r="U60" s="735"/>
      <c r="V60" s="736"/>
      <c r="W60" s="732">
        <f t="shared" ca="1" si="1"/>
        <v>0</v>
      </c>
      <c r="X60" s="732"/>
      <c r="Y60" s="737"/>
      <c r="Z60" s="738">
        <f t="shared" si="344"/>
        <v>0</v>
      </c>
      <c r="AA60" s="739"/>
      <c r="AB60" s="739"/>
      <c r="AC60" s="739"/>
      <c r="AD60" s="739"/>
      <c r="AE60" s="739"/>
      <c r="AF60" s="739"/>
      <c r="AG60" s="739"/>
      <c r="AH60" s="739"/>
      <c r="AI60" s="739"/>
      <c r="AJ60" s="739"/>
      <c r="AK60" s="739"/>
      <c r="AL60" s="739"/>
      <c r="AM60" s="740"/>
      <c r="AN60" s="741" t="s">
        <v>931</v>
      </c>
      <c r="AO60" s="741" t="str">
        <f t="shared" si="2"/>
        <v>ЯЗНАЮ</v>
      </c>
      <c r="AP60" s="742">
        <f t="shared" si="3"/>
        <v>12</v>
      </c>
      <c r="AQ60" s="743">
        <f t="shared" ca="1" si="14"/>
        <v>0</v>
      </c>
      <c r="AR60" s="743" t="str">
        <f t="shared" ca="1" si="14"/>
        <v>Вкл.</v>
      </c>
      <c r="AS60" s="744">
        <v>0</v>
      </c>
      <c r="AT60" s="745">
        <v>0</v>
      </c>
      <c r="AU60" s="746">
        <f t="shared" ca="1" si="15"/>
        <v>300</v>
      </c>
      <c r="AV60" s="747">
        <f t="shared" ca="1" si="16"/>
        <v>300</v>
      </c>
      <c r="AW60" s="748">
        <f t="shared" ca="1" si="17"/>
        <v>300</v>
      </c>
      <c r="AX60" s="749"/>
      <c r="AY60" s="749"/>
      <c r="AZ60" s="750">
        <f t="shared" ca="1" si="18"/>
        <v>300</v>
      </c>
      <c r="BA60" s="751">
        <f t="shared" ca="1" si="19"/>
        <v>300</v>
      </c>
      <c r="BB60" s="750">
        <f t="shared" ca="1" si="20"/>
        <v>1</v>
      </c>
      <c r="BC60" s="752" t="str">
        <f t="shared" ca="1" si="20"/>
        <v>1000 контактов</v>
      </c>
      <c r="BD60" s="745" t="str">
        <f t="shared" ca="1" si="21"/>
        <v>х1000</v>
      </c>
      <c r="BE60" s="753">
        <f t="shared" ca="1" si="4"/>
        <v>0</v>
      </c>
      <c r="BF60" s="750">
        <f t="array" aca="1" ref="BF60" ca="1">SUM($K60:$V60*$BK60:$BV60)*$AZ60</f>
        <v>0</v>
      </c>
      <c r="BG60" s="750">
        <f t="array" aca="1" ref="BG60" ca="1">SUM($K60:$V60*$BY60:$CJ60*$BK60:$BV60)*$AZ60*$BX60</f>
        <v>0</v>
      </c>
      <c r="BH60" s="750">
        <f t="array" aca="1" ref="BH60" ca="1">SUM($K60:$V60*$BY60:$CJ60*$BK60:$BV60)*(1-$BE60)*$AZ60*$BX60</f>
        <v>0</v>
      </c>
      <c r="BI60" s="754">
        <f t="shared" ca="1" si="22"/>
        <v>0</v>
      </c>
      <c r="BJ60" s="755" t="str">
        <f t="shared" ca="1" si="23"/>
        <v>Нет</v>
      </c>
      <c r="BK60" s="756">
        <f t="shared" ca="1" si="331"/>
        <v>1</v>
      </c>
      <c r="BL60" s="757">
        <f t="shared" ca="1" si="331"/>
        <v>1</v>
      </c>
      <c r="BM60" s="757">
        <f t="shared" ca="1" si="331"/>
        <v>1</v>
      </c>
      <c r="BN60" s="757">
        <f t="shared" ca="1" si="331"/>
        <v>1</v>
      </c>
      <c r="BO60" s="757">
        <f t="shared" ca="1" si="331"/>
        <v>1</v>
      </c>
      <c r="BP60" s="757">
        <f t="shared" ca="1" si="331"/>
        <v>1</v>
      </c>
      <c r="BQ60" s="757">
        <f t="shared" ca="1" si="331"/>
        <v>1</v>
      </c>
      <c r="BR60" s="757">
        <f t="shared" ca="1" si="331"/>
        <v>1</v>
      </c>
      <c r="BS60" s="757">
        <f t="shared" ca="1" si="331"/>
        <v>1</v>
      </c>
      <c r="BT60" s="757">
        <f t="shared" ca="1" si="331"/>
        <v>1</v>
      </c>
      <c r="BU60" s="757">
        <f t="shared" ca="1" si="331"/>
        <v>1</v>
      </c>
      <c r="BV60" s="758">
        <f t="shared" ca="1" si="331"/>
        <v>1</v>
      </c>
      <c r="BW60" s="749">
        <f t="shared" si="6"/>
        <v>10</v>
      </c>
      <c r="BX60" s="759">
        <f>IF($AN60="Ya",100%,100%+extraDelayZ)</f>
        <v>1</v>
      </c>
      <c r="BY60" s="760">
        <f t="shared" si="345"/>
        <v>1</v>
      </c>
      <c r="BZ60" s="761">
        <f t="shared" si="332"/>
        <v>1</v>
      </c>
      <c r="CA60" s="761">
        <f t="shared" si="333"/>
        <v>1</v>
      </c>
      <c r="CB60" s="761">
        <f t="shared" si="334"/>
        <v>1</v>
      </c>
      <c r="CC60" s="761">
        <f t="shared" si="335"/>
        <v>1</v>
      </c>
      <c r="CD60" s="761">
        <f t="shared" si="336"/>
        <v>1</v>
      </c>
      <c r="CE60" s="761">
        <f t="shared" si="337"/>
        <v>1</v>
      </c>
      <c r="CF60" s="761">
        <f t="shared" si="338"/>
        <v>1</v>
      </c>
      <c r="CG60" s="761">
        <f t="shared" si="339"/>
        <v>1</v>
      </c>
      <c r="CH60" s="761">
        <f t="shared" si="340"/>
        <v>1</v>
      </c>
      <c r="CI60" s="761">
        <f t="shared" si="341"/>
        <v>1</v>
      </c>
      <c r="CJ60" s="762">
        <f t="shared" si="342"/>
        <v>1</v>
      </c>
      <c r="CK60" s="763">
        <f t="array" ref="CK60">IF(ISERROR(SUM($K60:$V60*$BY60:$CJ60)/SUM($K60:$V60)),1,SUM($K60:$V60*$BY60:$CJ60)/SUM($K60:$V60))-1</f>
        <v>0</v>
      </c>
      <c r="CL60" s="726"/>
    </row>
    <row r="61" spans="1:90" s="727" customFormat="1" ht="12.75" hidden="1" outlineLevel="1" x14ac:dyDescent="0.2">
      <c r="A61" s="728"/>
      <c r="B61" s="729" t="str">
        <f t="shared" ca="1" si="7"/>
        <v>Авто/FMCG/ IT-Mobile/Развлечения/Занятость, Пакет "Стандарт 3000К", 728х90+240х400+300х250</v>
      </c>
      <c r="C61" s="730" t="str">
        <f t="shared" ca="1" si="343"/>
        <v>Пакет</v>
      </c>
      <c r="D61" s="731">
        <f t="shared" ca="1" si="8"/>
        <v>200</v>
      </c>
      <c r="E61" s="731">
        <f t="shared" ca="1" si="9"/>
        <v>200</v>
      </c>
      <c r="F61" s="731">
        <f t="shared" ca="1" si="10"/>
        <v>200</v>
      </c>
      <c r="G61" s="732">
        <f t="shared" ca="1" si="11"/>
        <v>600000</v>
      </c>
      <c r="H61" s="732">
        <f t="shared" ca="1" si="12"/>
        <v>600000</v>
      </c>
      <c r="I61" s="732">
        <f t="shared" ca="1" si="13"/>
        <v>0</v>
      </c>
      <c r="J61" s="733">
        <f t="shared" ca="1" si="346"/>
        <v>0</v>
      </c>
      <c r="K61" s="734"/>
      <c r="L61" s="735"/>
      <c r="M61" s="735"/>
      <c r="N61" s="735"/>
      <c r="O61" s="735"/>
      <c r="P61" s="735"/>
      <c r="Q61" s="735"/>
      <c r="R61" s="735"/>
      <c r="S61" s="735"/>
      <c r="T61" s="735"/>
      <c r="U61" s="735"/>
      <c r="V61" s="736"/>
      <c r="W61" s="732">
        <f t="shared" ca="1" si="1"/>
        <v>0</v>
      </c>
      <c r="X61" s="732"/>
      <c r="Y61" s="737"/>
      <c r="Z61" s="738">
        <f t="shared" si="344"/>
        <v>0</v>
      </c>
      <c r="AA61" s="739"/>
      <c r="AB61" s="739"/>
      <c r="AC61" s="739"/>
      <c r="AD61" s="739"/>
      <c r="AE61" s="739"/>
      <c r="AF61" s="739"/>
      <c r="AG61" s="739"/>
      <c r="AH61" s="739"/>
      <c r="AI61" s="739"/>
      <c r="AJ61" s="739"/>
      <c r="AK61" s="739"/>
      <c r="AL61" s="739"/>
      <c r="AM61" s="740"/>
      <c r="AN61" s="741" t="s">
        <v>929</v>
      </c>
      <c r="AO61" s="741" t="str">
        <f t="shared" si="2"/>
        <v>ЯЗНАЮ</v>
      </c>
      <c r="AP61" s="742">
        <f t="shared" si="3"/>
        <v>12</v>
      </c>
      <c r="AQ61" s="743">
        <f t="shared" ca="1" si="14"/>
        <v>0</v>
      </c>
      <c r="AR61" s="743" t="str">
        <f t="shared" ca="1" si="14"/>
        <v>Вкл.</v>
      </c>
      <c r="AS61" s="744">
        <v>0</v>
      </c>
      <c r="AT61" s="745">
        <v>0</v>
      </c>
      <c r="AU61" s="746">
        <f t="shared" ca="1" si="15"/>
        <v>200</v>
      </c>
      <c r="AV61" s="747">
        <f t="shared" ca="1" si="16"/>
        <v>200</v>
      </c>
      <c r="AW61" s="748">
        <f t="shared" ca="1" si="17"/>
        <v>200</v>
      </c>
      <c r="AX61" s="749"/>
      <c r="AY61" s="749"/>
      <c r="AZ61" s="750">
        <f t="shared" ca="1" si="18"/>
        <v>600000</v>
      </c>
      <c r="BA61" s="751">
        <f t="shared" ca="1" si="19"/>
        <v>600000</v>
      </c>
      <c r="BB61" s="750">
        <f t="shared" ca="1" si="20"/>
        <v>3000</v>
      </c>
      <c r="BC61" s="752" t="str">
        <f t="shared" ca="1" si="20"/>
        <v>Пакет</v>
      </c>
      <c r="BD61" s="745" t="str">
        <f t="shared" ca="1" si="21"/>
        <v>Пакет</v>
      </c>
      <c r="BE61" s="753">
        <f t="shared" ca="1" si="4"/>
        <v>0</v>
      </c>
      <c r="BF61" s="750">
        <f t="array" aca="1" ref="BF61" ca="1">SUM($K61:$V61*$BK61:$BV61)*$AZ61</f>
        <v>0</v>
      </c>
      <c r="BG61" s="750">
        <f t="array" aca="1" ref="BG61" ca="1">SUM($K61:$V61*$BY61:$CJ61*$BK61:$BV61)*$AZ61*$BX61</f>
        <v>0</v>
      </c>
      <c r="BH61" s="750">
        <f t="array" aca="1" ref="BH61" ca="1">SUM($K61:$V61*$BY61:$CJ61*$BK61:$BV61)*(1-$BE61)*$AZ61*$BX61</f>
        <v>0</v>
      </c>
      <c r="BI61" s="754">
        <f t="shared" ca="1" si="22"/>
        <v>0</v>
      </c>
      <c r="BJ61" s="755" t="str">
        <f t="shared" ca="1" si="23"/>
        <v>Нет</v>
      </c>
      <c r="BK61" s="756">
        <f t="shared" ca="1" si="331"/>
        <v>1</v>
      </c>
      <c r="BL61" s="757">
        <f t="shared" ca="1" si="331"/>
        <v>1</v>
      </c>
      <c r="BM61" s="757">
        <f t="shared" ca="1" si="331"/>
        <v>1</v>
      </c>
      <c r="BN61" s="757">
        <f t="shared" ca="1" si="331"/>
        <v>1</v>
      </c>
      <c r="BO61" s="757">
        <f t="shared" ca="1" si="331"/>
        <v>1</v>
      </c>
      <c r="BP61" s="757">
        <f t="shared" ca="1" si="331"/>
        <v>1</v>
      </c>
      <c r="BQ61" s="757">
        <f t="shared" ca="1" si="331"/>
        <v>1</v>
      </c>
      <c r="BR61" s="757">
        <f t="shared" ca="1" si="331"/>
        <v>1</v>
      </c>
      <c r="BS61" s="757">
        <f t="shared" ca="1" si="331"/>
        <v>1</v>
      </c>
      <c r="BT61" s="757">
        <f t="shared" ca="1" si="331"/>
        <v>1</v>
      </c>
      <c r="BU61" s="757">
        <f t="shared" ca="1" si="331"/>
        <v>1</v>
      </c>
      <c r="BV61" s="758">
        <f t="shared" ca="1" si="331"/>
        <v>1</v>
      </c>
      <c r="BW61" s="749">
        <f t="shared" si="6"/>
        <v>11</v>
      </c>
      <c r="BX61" s="759">
        <f>IF($AN61="Ya",100%,100%+extraDelayZ)</f>
        <v>1</v>
      </c>
      <c r="BY61" s="760">
        <f t="shared" si="345"/>
        <v>1</v>
      </c>
      <c r="BZ61" s="761">
        <f t="shared" si="332"/>
        <v>1</v>
      </c>
      <c r="CA61" s="761">
        <f t="shared" si="333"/>
        <v>1</v>
      </c>
      <c r="CB61" s="761">
        <f t="shared" si="334"/>
        <v>1</v>
      </c>
      <c r="CC61" s="761">
        <f t="shared" si="335"/>
        <v>1</v>
      </c>
      <c r="CD61" s="761">
        <f t="shared" si="336"/>
        <v>1</v>
      </c>
      <c r="CE61" s="761">
        <f t="shared" si="337"/>
        <v>1</v>
      </c>
      <c r="CF61" s="761">
        <f t="shared" si="338"/>
        <v>1</v>
      </c>
      <c r="CG61" s="761">
        <f t="shared" si="339"/>
        <v>1</v>
      </c>
      <c r="CH61" s="761">
        <f t="shared" si="340"/>
        <v>1</v>
      </c>
      <c r="CI61" s="761">
        <f t="shared" si="341"/>
        <v>1</v>
      </c>
      <c r="CJ61" s="762">
        <f t="shared" si="342"/>
        <v>1</v>
      </c>
      <c r="CK61" s="763">
        <f t="array" ref="CK61">IF(ISERROR(SUM($K61:$V61*$BY61:$CJ61)/SUM($K61:$V61)),1,SUM($K61:$V61*$BY61:$CJ61)/SUM($K61:$V61))-1</f>
        <v>0</v>
      </c>
      <c r="CL61" s="726"/>
    </row>
    <row r="62" spans="1:90" s="727" customFormat="1" ht="12.75" hidden="1" outlineLevel="1" x14ac:dyDescent="0.2">
      <c r="A62" s="728"/>
      <c r="B62" s="729" t="str">
        <f t="shared" ca="1" si="7"/>
        <v>Кастомные и индивидуальные продукты</v>
      </c>
      <c r="C62" s="730" t="str">
        <f t="shared" ca="1" si="343"/>
        <v>х1000</v>
      </c>
      <c r="D62" s="731">
        <f t="shared" ca="1" si="8"/>
        <v>600</v>
      </c>
      <c r="E62" s="731">
        <f t="shared" ca="1" si="9"/>
        <v>600</v>
      </c>
      <c r="F62" s="731">
        <f t="shared" ca="1" si="10"/>
        <v>600</v>
      </c>
      <c r="G62" s="732">
        <f t="shared" ca="1" si="11"/>
        <v>600</v>
      </c>
      <c r="H62" s="732">
        <f t="shared" ca="1" si="12"/>
        <v>600</v>
      </c>
      <c r="I62" s="732">
        <f t="shared" ca="1" si="13"/>
        <v>0</v>
      </c>
      <c r="J62" s="733">
        <f t="shared" ca="1" si="346"/>
        <v>0</v>
      </c>
      <c r="K62" s="734"/>
      <c r="L62" s="735"/>
      <c r="M62" s="735"/>
      <c r="N62" s="735"/>
      <c r="O62" s="735"/>
      <c r="P62" s="735"/>
      <c r="Q62" s="735"/>
      <c r="R62" s="735"/>
      <c r="S62" s="735"/>
      <c r="T62" s="735"/>
      <c r="U62" s="735"/>
      <c r="V62" s="736"/>
      <c r="W62" s="732">
        <f t="shared" ca="1" si="1"/>
        <v>0</v>
      </c>
      <c r="X62" s="732"/>
      <c r="Y62" s="737"/>
      <c r="Z62" s="738">
        <f t="shared" si="344"/>
        <v>0</v>
      </c>
      <c r="AA62" s="739"/>
      <c r="AB62" s="739"/>
      <c r="AC62" s="739"/>
      <c r="AD62" s="739"/>
      <c r="AE62" s="739"/>
      <c r="AF62" s="739"/>
      <c r="AG62" s="739"/>
      <c r="AH62" s="739"/>
      <c r="AI62" s="739"/>
      <c r="AJ62" s="739"/>
      <c r="AK62" s="739"/>
      <c r="AL62" s="739"/>
      <c r="AM62" s="740"/>
      <c r="AN62" s="741" t="s">
        <v>929</v>
      </c>
      <c r="AO62" s="741" t="str">
        <f t="shared" si="2"/>
        <v>ЯЗНАЮ</v>
      </c>
      <c r="AP62" s="742">
        <f t="shared" si="3"/>
        <v>12</v>
      </c>
      <c r="AQ62" s="743">
        <f t="shared" ca="1" si="14"/>
        <v>0</v>
      </c>
      <c r="AR62" s="743" t="str">
        <f t="shared" ca="1" si="14"/>
        <v>Вкл.</v>
      </c>
      <c r="AS62" s="744">
        <v>0</v>
      </c>
      <c r="AT62" s="745">
        <v>0</v>
      </c>
      <c r="AU62" s="746">
        <f t="shared" ca="1" si="15"/>
        <v>600</v>
      </c>
      <c r="AV62" s="747">
        <f t="shared" ca="1" si="16"/>
        <v>600</v>
      </c>
      <c r="AW62" s="748">
        <f t="shared" ca="1" si="17"/>
        <v>600</v>
      </c>
      <c r="AX62" s="749"/>
      <c r="AY62" s="749"/>
      <c r="AZ62" s="750">
        <f t="shared" ca="1" si="18"/>
        <v>600</v>
      </c>
      <c r="BA62" s="751">
        <f t="shared" ca="1" si="19"/>
        <v>600</v>
      </c>
      <c r="BB62" s="750">
        <f t="shared" ca="1" si="20"/>
        <v>1</v>
      </c>
      <c r="BC62" s="752" t="str">
        <f t="shared" ca="1" si="20"/>
        <v>1000 контактов</v>
      </c>
      <c r="BD62" s="745" t="str">
        <f t="shared" ca="1" si="21"/>
        <v>х1000</v>
      </c>
      <c r="BE62" s="753">
        <f t="shared" ca="1" si="4"/>
        <v>0</v>
      </c>
      <c r="BF62" s="750">
        <f t="array" aca="1" ref="BF62" ca="1">SUM($K62:$V62*$BK62:$BV62)*$AZ62</f>
        <v>0</v>
      </c>
      <c r="BG62" s="750">
        <f t="array" aca="1" ref="BG62" ca="1">SUM($K62:$V62*$BY62:$CJ62*$BK62:$BV62)*$AZ62*$BX62</f>
        <v>0</v>
      </c>
      <c r="BH62" s="750">
        <f t="array" aca="1" ref="BH62" ca="1">SUM($K62:$V62*$BY62:$CJ62*$BK62:$BV62)*(1-$BE62)*$AZ62*$BX62</f>
        <v>0</v>
      </c>
      <c r="BI62" s="754">
        <f t="shared" ca="1" si="22"/>
        <v>0</v>
      </c>
      <c r="BJ62" s="755" t="str">
        <f t="shared" ca="1" si="23"/>
        <v>Нет</v>
      </c>
      <c r="BK62" s="756">
        <f t="shared" ca="1" si="331"/>
        <v>1</v>
      </c>
      <c r="BL62" s="757">
        <f t="shared" ca="1" si="331"/>
        <v>1</v>
      </c>
      <c r="BM62" s="757">
        <f t="shared" ca="1" si="331"/>
        <v>1</v>
      </c>
      <c r="BN62" s="757">
        <f t="shared" ca="1" si="331"/>
        <v>1</v>
      </c>
      <c r="BO62" s="757">
        <f t="shared" ca="1" si="331"/>
        <v>1</v>
      </c>
      <c r="BP62" s="757">
        <f t="shared" ca="1" si="331"/>
        <v>1</v>
      </c>
      <c r="BQ62" s="757">
        <f t="shared" ca="1" si="331"/>
        <v>1</v>
      </c>
      <c r="BR62" s="757">
        <f t="shared" ca="1" si="331"/>
        <v>1</v>
      </c>
      <c r="BS62" s="757">
        <f t="shared" ca="1" si="331"/>
        <v>1</v>
      </c>
      <c r="BT62" s="757">
        <f t="shared" ca="1" si="331"/>
        <v>1</v>
      </c>
      <c r="BU62" s="757">
        <f t="shared" ca="1" si="331"/>
        <v>1</v>
      </c>
      <c r="BV62" s="758">
        <f t="shared" ca="1" si="331"/>
        <v>1</v>
      </c>
      <c r="BW62" s="749">
        <f t="shared" si="6"/>
        <v>12</v>
      </c>
      <c r="BX62" s="759">
        <f>IF($AN62="Ya",100%,100%+extraDelayZ)</f>
        <v>1</v>
      </c>
      <c r="BY62" s="760">
        <f t="shared" si="345"/>
        <v>1</v>
      </c>
      <c r="BZ62" s="761">
        <f t="shared" si="332"/>
        <v>1</v>
      </c>
      <c r="CA62" s="761">
        <f t="shared" si="333"/>
        <v>1</v>
      </c>
      <c r="CB62" s="761">
        <f t="shared" si="334"/>
        <v>1</v>
      </c>
      <c r="CC62" s="761">
        <f t="shared" si="335"/>
        <v>1</v>
      </c>
      <c r="CD62" s="761">
        <f t="shared" si="336"/>
        <v>1</v>
      </c>
      <c r="CE62" s="761">
        <f t="shared" si="337"/>
        <v>1</v>
      </c>
      <c r="CF62" s="761">
        <f t="shared" si="338"/>
        <v>1</v>
      </c>
      <c r="CG62" s="761">
        <f t="shared" si="339"/>
        <v>1</v>
      </c>
      <c r="CH62" s="761">
        <f t="shared" si="340"/>
        <v>1</v>
      </c>
      <c r="CI62" s="761">
        <f t="shared" si="341"/>
        <v>1</v>
      </c>
      <c r="CJ62" s="762">
        <f t="shared" si="342"/>
        <v>1</v>
      </c>
      <c r="CK62" s="763">
        <f t="array" ref="CK62">IF(ISERROR(SUM($K62:$V62*$BY62:$CJ62)/SUM($K62:$V62)),1,SUM($K62:$V62*$BY62:$CJ62)/SUM($K62:$V62))-1</f>
        <v>0</v>
      </c>
      <c r="CL62" s="726"/>
    </row>
    <row r="63" spans="1:90" s="4" customFormat="1" ht="15" collapsed="1" x14ac:dyDescent="0.2">
      <c r="A63" s="391"/>
      <c r="B63" s="392" t="str">
        <f>CONCATENATE($AO63,IF($AX63&gt;0,CONCATENATE("  (план ",TEXT(INDEX(indBudX,MATCH($AN63,indPrefixX,0)),"# ##0")," руб.)"),""))</f>
        <v>VK.com</v>
      </c>
      <c r="C63" s="650" t="s">
        <v>363</v>
      </c>
      <c r="D63" s="393"/>
      <c r="E63" s="394"/>
      <c r="F63" s="394"/>
      <c r="G63" s="395"/>
      <c r="H63" s="395"/>
      <c r="I63" s="395">
        <f t="shared" ca="1" si="13"/>
        <v>0</v>
      </c>
      <c r="J63" s="396">
        <f ca="1">$BH63</f>
        <v>0</v>
      </c>
      <c r="K63" s="397"/>
      <c r="L63" s="398"/>
      <c r="M63" s="398"/>
      <c r="N63" s="398"/>
      <c r="O63" s="398"/>
      <c r="P63" s="398"/>
      <c r="Q63" s="398"/>
      <c r="R63" s="398"/>
      <c r="S63" s="398"/>
      <c r="T63" s="398"/>
      <c r="U63" s="398"/>
      <c r="V63" s="399"/>
      <c r="W63" s="395">
        <f t="shared" ca="1" si="1"/>
        <v>0</v>
      </c>
      <c r="X63" s="576"/>
      <c r="Y63" s="400">
        <f ca="1">$BE63</f>
        <v>0</v>
      </c>
      <c r="Z63" s="401"/>
      <c r="AA63" s="402"/>
      <c r="AB63" s="402"/>
      <c r="AC63" s="402"/>
      <c r="AD63" s="402"/>
      <c r="AE63" s="402"/>
      <c r="AF63" s="402"/>
      <c r="AG63" s="402"/>
      <c r="AH63" s="402"/>
      <c r="AI63" s="402"/>
      <c r="AJ63" s="402"/>
      <c r="AK63" s="402"/>
      <c r="AL63" s="402"/>
      <c r="AM63" s="403"/>
      <c r="AN63" s="130" t="s">
        <v>473</v>
      </c>
      <c r="AO63" s="130" t="str">
        <f t="shared" si="2"/>
        <v>VK.com</v>
      </c>
      <c r="AP63" s="119">
        <f t="shared" si="3"/>
        <v>4</v>
      </c>
      <c r="AQ63" s="120"/>
      <c r="AR63" s="120"/>
      <c r="AS63" s="121"/>
      <c r="AT63" s="228"/>
      <c r="AU63" s="232"/>
      <c r="AV63" s="179"/>
      <c r="AW63" s="233"/>
      <c r="AX63" s="279">
        <f>IF(ISERROR(INDEX(indBudX,MATCH($AN63,indPrefixX,0))),0,INDEX(indBudX,MATCH($AN63,indPrefixX,0)))</f>
        <v>0</v>
      </c>
      <c r="AY63" s="279">
        <f>IF(ISNUMBER($X63),$X63,0)</f>
        <v>0</v>
      </c>
      <c r="AZ63" s="123"/>
      <c r="BA63" s="125"/>
      <c r="BB63" s="123"/>
      <c r="BC63" s="124"/>
      <c r="BD63" s="464"/>
      <c r="BE63" s="282">
        <f t="shared" ca="1" si="4"/>
        <v>0</v>
      </c>
      <c r="BF63" s="123">
        <f t="shared" ref="BF63:BI63" ca="1" si="347">SUM(OFFSET(BF63,1,0,$AP63-1,1))</f>
        <v>0</v>
      </c>
      <c r="BG63" s="123">
        <f t="shared" ca="1" si="347"/>
        <v>0</v>
      </c>
      <c r="BH63" s="123">
        <f t="shared" ca="1" si="347"/>
        <v>0</v>
      </c>
      <c r="BI63" s="273">
        <f t="shared" ca="1" si="347"/>
        <v>0</v>
      </c>
      <c r="BJ63" s="274"/>
      <c r="BK63" s="126"/>
      <c r="BL63" s="127"/>
      <c r="BM63" s="127"/>
      <c r="BN63" s="127"/>
      <c r="BO63" s="127"/>
      <c r="BP63" s="127"/>
      <c r="BQ63" s="127"/>
      <c r="BR63" s="127"/>
      <c r="BS63" s="127"/>
      <c r="BT63" s="127"/>
      <c r="BU63" s="127"/>
      <c r="BV63" s="277"/>
      <c r="BW63" s="279">
        <f t="shared" si="6"/>
        <v>1</v>
      </c>
      <c r="BX63" s="128"/>
      <c r="BY63" s="260"/>
      <c r="BZ63" s="261"/>
      <c r="CA63" s="261"/>
      <c r="CB63" s="261"/>
      <c r="CC63" s="261"/>
      <c r="CD63" s="261"/>
      <c r="CE63" s="261"/>
      <c r="CF63" s="261"/>
      <c r="CG63" s="261"/>
      <c r="CH63" s="261"/>
      <c r="CI63" s="261"/>
      <c r="CJ63" s="262"/>
      <c r="CK63" s="270"/>
      <c r="CL63" s="234"/>
    </row>
    <row r="64" spans="1:90" s="4" customFormat="1" ht="12.75" hidden="1" outlineLevel="1" x14ac:dyDescent="0.2">
      <c r="A64" s="422"/>
      <c r="B64" s="404" t="str">
        <f t="shared" ref="B64:B81" ca="1" si="348">INDEX(INDIRECT(LOWER($AN64)&amp;"Price"),$BW64,2)</f>
        <v>Прелоадер 500х500 до 8 секунд, Пакет "Охват 4000К"</v>
      </c>
      <c r="C64" s="649" t="str">
        <f t="shared" ref="C64:C81" ca="1" si="349">$BD64</f>
        <v>Пакет</v>
      </c>
      <c r="D64" s="405">
        <f t="shared" ref="D64:D81" ca="1" si="350">$AU64</f>
        <v>300</v>
      </c>
      <c r="E64" s="405">
        <f t="shared" ref="E64:E81" ca="1" si="351">$AV64</f>
        <v>300</v>
      </c>
      <c r="F64" s="405">
        <f t="shared" ref="F64:F81" ca="1" si="352">$AW64</f>
        <v>300</v>
      </c>
      <c r="G64" s="406">
        <f t="shared" ref="G64:G81" ca="1" si="353">$AZ64</f>
        <v>1200000</v>
      </c>
      <c r="H64" s="406">
        <f t="shared" ref="H64:H81" ca="1" si="354">$BA64</f>
        <v>1200000</v>
      </c>
      <c r="I64" s="406">
        <f t="shared" ca="1" si="13"/>
        <v>0</v>
      </c>
      <c r="J64" s="407">
        <f t="shared" ref="J64:J81" ca="1" si="355">$BH64</f>
        <v>0</v>
      </c>
      <c r="K64" s="423"/>
      <c r="L64" s="424"/>
      <c r="M64" s="424"/>
      <c r="N64" s="424"/>
      <c r="O64" s="424"/>
      <c r="P64" s="424"/>
      <c r="Q64" s="424"/>
      <c r="R64" s="424"/>
      <c r="S64" s="424"/>
      <c r="T64" s="424"/>
      <c r="U64" s="424"/>
      <c r="V64" s="425"/>
      <c r="W64" s="406">
        <f t="shared" ca="1" si="1"/>
        <v>0</v>
      </c>
      <c r="X64" s="406"/>
      <c r="Y64" s="411"/>
      <c r="Z64" s="412">
        <f t="shared" ref="Z64:Z66" si="356">CK64</f>
        <v>0</v>
      </c>
      <c r="AA64" s="620"/>
      <c r="AB64" s="620"/>
      <c r="AC64" s="620"/>
      <c r="AD64" s="620"/>
      <c r="AE64" s="620"/>
      <c r="AF64" s="620"/>
      <c r="AG64" s="620"/>
      <c r="AH64" s="620"/>
      <c r="AI64" s="620"/>
      <c r="AJ64" s="620"/>
      <c r="AK64" s="620"/>
      <c r="AL64" s="620"/>
      <c r="AM64" s="621"/>
      <c r="AN64" s="351" t="s">
        <v>473</v>
      </c>
      <c r="AO64" s="351" t="str">
        <f t="shared" si="2"/>
        <v>VK.com</v>
      </c>
      <c r="AP64" s="115">
        <f t="shared" si="3"/>
        <v>4</v>
      </c>
      <c r="AQ64" s="31" t="str">
        <f t="shared" ref="AQ64:AR81" ca="1" si="357">HLOOKUP(AQ$10,INDIRECT(LOWER($AN64)&amp;"Price"),$BW64,FALSE)</f>
        <v>-</v>
      </c>
      <c r="AR64" s="31" t="str">
        <f t="shared" ca="1" si="357"/>
        <v>-</v>
      </c>
      <c r="AS64" s="35">
        <v>0</v>
      </c>
      <c r="AT64" s="229">
        <v>0</v>
      </c>
      <c r="AU64" s="344">
        <f t="shared" ref="AU64:AU81" ca="1" si="358">HLOOKUP(AU$10,INDIRECT(LOWER($AN64)&amp;"Price"),$BW64,FALSE)</f>
        <v>300</v>
      </c>
      <c r="AV64" s="345">
        <f t="shared" ref="AV64:AV81" ca="1" si="359">IF(ISERROR($BG64/$BI64),$AU64,$BG64/$BI64)</f>
        <v>300</v>
      </c>
      <c r="AW64" s="346">
        <f t="shared" ref="AW64:AW81" ca="1" si="360">$AV64*(1-$BE64)</f>
        <v>300</v>
      </c>
      <c r="AX64" s="280"/>
      <c r="AY64" s="280"/>
      <c r="AZ64" s="347">
        <f t="shared" ref="AZ64:AZ81" ca="1" si="361">HLOOKUP(AZ$10,INDIRECT(LOWER($AN64)&amp;"Price"),$BW64,FALSE)</f>
        <v>1200000</v>
      </c>
      <c r="BA64" s="348">
        <f t="shared" ref="BA64:BA81" ca="1" si="362">$AZ64*(1-$BE64)</f>
        <v>1200000</v>
      </c>
      <c r="BB64" s="347">
        <f t="shared" ref="BB64:BC81" ca="1" si="363">HLOOKUP(BB$10,INDIRECT(LOWER($AN64)&amp;"Price"),$BW64,FALSE)</f>
        <v>4000</v>
      </c>
      <c r="BC64" s="37" t="str">
        <f t="shared" ca="1" si="363"/>
        <v>Пакет</v>
      </c>
      <c r="BD64" s="229" t="str">
        <f t="shared" ref="BD64:BD81" ca="1" si="364">IF(ISERROR(VLOOKUP($BC64,typeIndexPair,2,FALSE)),"",VLOOKUP($BC64,typeIndexPair,2,FALSE))</f>
        <v>Пакет</v>
      </c>
      <c r="BE64" s="283">
        <f t="shared" ca="1" si="4"/>
        <v>0</v>
      </c>
      <c r="BF64" s="347">
        <f t="array" aca="1" ref="BF64" ca="1">SUM($K64:$V64*$BK64:$BV64)*$AZ64</f>
        <v>0</v>
      </c>
      <c r="BG64" s="347">
        <f t="array" aca="1" ref="BG64" ca="1">SUM($K64:$V64*$BY64:$CJ64*$BK64:$BV64)*$AZ64*$BX64</f>
        <v>0</v>
      </c>
      <c r="BH64" s="347">
        <f t="array" aca="1" ref="BH64" ca="1">SUM($K64:$V64*$BY64:$CJ64*$BK64:$BV64)*(1-$BE64)*$AZ64*$BX64</f>
        <v>0</v>
      </c>
      <c r="BI64" s="350">
        <f t="shared" ref="BI64:BI81" ca="1" si="365">SUM($K64:$V64)*$BB64</f>
        <v>0</v>
      </c>
      <c r="BJ64" s="275" t="str">
        <f t="shared" ref="BJ64:BJ81" ca="1" si="366">IF(ISERROR(HLOOKUP(BJ$10,INDIRECT(LOWER($AN64)&amp;"Price"),$BW64,FALSE)),"Да",HLOOKUP(BJ$10,INDIRECT(LOWER($AN64)&amp;"Price"),$BW64,FALSE))</f>
        <v>Да</v>
      </c>
      <c r="BK64" s="116">
        <f t="shared" ref="BK64:BV81" ca="1" si="367">IF($BJ64="Особ.",INDEX(INDIRECT(LOWER($AN64)&amp;"Season2"),BK$9),IF($BJ64="Да",INDEX(INDIRECT(LOWER($AN64)&amp;"Season"),BK$9),100%))</f>
        <v>0.8</v>
      </c>
      <c r="BL64" s="117">
        <f t="shared" ca="1" si="367"/>
        <v>1</v>
      </c>
      <c r="BM64" s="117">
        <f t="shared" ca="1" si="367"/>
        <v>1</v>
      </c>
      <c r="BN64" s="117">
        <f t="shared" ca="1" si="367"/>
        <v>1</v>
      </c>
      <c r="BO64" s="117">
        <f t="shared" ca="1" si="367"/>
        <v>1</v>
      </c>
      <c r="BP64" s="117">
        <f t="shared" ca="1" si="367"/>
        <v>1</v>
      </c>
      <c r="BQ64" s="117">
        <f t="shared" ca="1" si="367"/>
        <v>1</v>
      </c>
      <c r="BR64" s="117">
        <f t="shared" ca="1" si="367"/>
        <v>1</v>
      </c>
      <c r="BS64" s="117">
        <f t="shared" ca="1" si="367"/>
        <v>1.3</v>
      </c>
      <c r="BT64" s="117">
        <f t="shared" ca="1" si="367"/>
        <v>1.3</v>
      </c>
      <c r="BU64" s="117">
        <f t="shared" ca="1" si="367"/>
        <v>1.3</v>
      </c>
      <c r="BV64" s="278">
        <f t="shared" ca="1" si="367"/>
        <v>1.3</v>
      </c>
      <c r="BW64" s="280">
        <f t="shared" si="6"/>
        <v>2</v>
      </c>
      <c r="BX64" s="118">
        <f>IF($AN64="Ya",100%,100%+extraDelayZ)</f>
        <v>1</v>
      </c>
      <c r="BY64" s="263">
        <f t="shared" ref="BY64:BY66" si="368">(1+AA64)</f>
        <v>1</v>
      </c>
      <c r="BZ64" s="264">
        <f t="shared" ref="BZ64:BZ66" si="369">(1+AB64)</f>
        <v>1</v>
      </c>
      <c r="CA64" s="264">
        <f t="shared" ref="CA64:CA66" si="370">(1+AC64)</f>
        <v>1</v>
      </c>
      <c r="CB64" s="264">
        <f t="shared" ref="CB64:CB66" si="371">(1+AD64)</f>
        <v>1</v>
      </c>
      <c r="CC64" s="264">
        <f t="shared" ref="CC64:CC66" si="372">(1+AE64)</f>
        <v>1</v>
      </c>
      <c r="CD64" s="264">
        <f t="shared" ref="CD64:CD66" si="373">(1+AF64)</f>
        <v>1</v>
      </c>
      <c r="CE64" s="264">
        <f t="shared" ref="CE64:CE66" si="374">(1+AG64)</f>
        <v>1</v>
      </c>
      <c r="CF64" s="264">
        <f t="shared" ref="CF64:CF66" si="375">(1+AH64)</f>
        <v>1</v>
      </c>
      <c r="CG64" s="264">
        <f t="shared" ref="CG64:CG66" si="376">(1+AI64)</f>
        <v>1</v>
      </c>
      <c r="CH64" s="264">
        <f t="shared" ref="CH64:CH66" si="377">(1+AJ64)</f>
        <v>1</v>
      </c>
      <c r="CI64" s="264">
        <f t="shared" ref="CI64:CI66" si="378">(1+AK64)</f>
        <v>1</v>
      </c>
      <c r="CJ64" s="265">
        <f t="shared" ref="CJ64:CJ66" si="379">(1+AL64)</f>
        <v>1</v>
      </c>
      <c r="CK64" s="269">
        <f t="array" ref="CK64">IF(ISERROR(SUM($K64:$V64*$BY64:$CJ64)/SUM($K64:$V64)),1,SUM($K64:$V64*$BY64:$CJ64)/SUM($K64:$V64))-1</f>
        <v>0</v>
      </c>
      <c r="CL64" s="234"/>
    </row>
    <row r="65" spans="1:90" s="4" customFormat="1" ht="12.75" hidden="1" outlineLevel="1" x14ac:dyDescent="0.2">
      <c r="A65" s="422"/>
      <c r="B65" s="404" t="str">
        <f t="shared" ca="1" si="348"/>
        <v>Прелоадер 500х500 до 8 секунд, Пакет "Охват 8000К"</v>
      </c>
      <c r="C65" s="649" t="str">
        <f t="shared" ca="1" si="349"/>
        <v>Пакет</v>
      </c>
      <c r="D65" s="405">
        <f t="shared" ca="1" si="350"/>
        <v>250</v>
      </c>
      <c r="E65" s="405">
        <f t="shared" ca="1" si="351"/>
        <v>250</v>
      </c>
      <c r="F65" s="405">
        <f t="shared" ca="1" si="352"/>
        <v>250</v>
      </c>
      <c r="G65" s="406">
        <f t="shared" ca="1" si="353"/>
        <v>2000000</v>
      </c>
      <c r="H65" s="406">
        <f t="shared" ca="1" si="354"/>
        <v>2000000</v>
      </c>
      <c r="I65" s="406">
        <f t="shared" ref="I65:I81" ca="1" si="380">$BG65</f>
        <v>0</v>
      </c>
      <c r="J65" s="407">
        <f t="shared" ca="1" si="355"/>
        <v>0</v>
      </c>
      <c r="K65" s="423"/>
      <c r="L65" s="424"/>
      <c r="M65" s="424"/>
      <c r="N65" s="424"/>
      <c r="O65" s="424"/>
      <c r="P65" s="424"/>
      <c r="Q65" s="424"/>
      <c r="R65" s="424"/>
      <c r="S65" s="424"/>
      <c r="T65" s="424"/>
      <c r="U65" s="424"/>
      <c r="V65" s="425"/>
      <c r="W65" s="406">
        <f t="shared" ca="1" si="1"/>
        <v>0</v>
      </c>
      <c r="X65" s="406"/>
      <c r="Y65" s="411"/>
      <c r="Z65" s="412">
        <f t="shared" si="356"/>
        <v>0</v>
      </c>
      <c r="AA65" s="620"/>
      <c r="AB65" s="620"/>
      <c r="AC65" s="620"/>
      <c r="AD65" s="620"/>
      <c r="AE65" s="620"/>
      <c r="AF65" s="620"/>
      <c r="AG65" s="620"/>
      <c r="AH65" s="620"/>
      <c r="AI65" s="620"/>
      <c r="AJ65" s="620"/>
      <c r="AK65" s="620"/>
      <c r="AL65" s="620"/>
      <c r="AM65" s="621"/>
      <c r="AN65" s="351" t="s">
        <v>473</v>
      </c>
      <c r="AO65" s="351" t="str">
        <f t="shared" si="2"/>
        <v>VK.com</v>
      </c>
      <c r="AP65" s="115">
        <f t="shared" si="3"/>
        <v>4</v>
      </c>
      <c r="AQ65" s="31" t="str">
        <f t="shared" ca="1" si="357"/>
        <v>-</v>
      </c>
      <c r="AR65" s="31" t="str">
        <f t="shared" ca="1" si="357"/>
        <v>-</v>
      </c>
      <c r="AS65" s="35">
        <v>0</v>
      </c>
      <c r="AT65" s="229">
        <v>0</v>
      </c>
      <c r="AU65" s="344">
        <f t="shared" ca="1" si="358"/>
        <v>250</v>
      </c>
      <c r="AV65" s="345">
        <f t="shared" ca="1" si="359"/>
        <v>250</v>
      </c>
      <c r="AW65" s="346">
        <f t="shared" ca="1" si="360"/>
        <v>250</v>
      </c>
      <c r="AX65" s="280"/>
      <c r="AY65" s="280"/>
      <c r="AZ65" s="347">
        <f t="shared" ca="1" si="361"/>
        <v>2000000</v>
      </c>
      <c r="BA65" s="348">
        <f t="shared" ca="1" si="362"/>
        <v>2000000</v>
      </c>
      <c r="BB65" s="347">
        <f t="shared" ca="1" si="363"/>
        <v>8000</v>
      </c>
      <c r="BC65" s="37" t="str">
        <f t="shared" ca="1" si="363"/>
        <v>Пакет</v>
      </c>
      <c r="BD65" s="229" t="str">
        <f t="shared" ca="1" si="364"/>
        <v>Пакет</v>
      </c>
      <c r="BE65" s="283">
        <f t="shared" ca="1" si="4"/>
        <v>0</v>
      </c>
      <c r="BF65" s="347">
        <f t="array" aca="1" ref="BF65" ca="1">SUM($K65:$V65*$BK65:$BV65)*$AZ65</f>
        <v>0</v>
      </c>
      <c r="BG65" s="347">
        <f t="array" aca="1" ref="BG65" ca="1">SUM($K65:$V65*$BY65:$CJ65*$BK65:$BV65)*$AZ65*$BX65</f>
        <v>0</v>
      </c>
      <c r="BH65" s="347">
        <f t="array" aca="1" ref="BH65" ca="1">SUM($K65:$V65*$BY65:$CJ65*$BK65:$BV65)*(1-$BE65)*$AZ65*$BX65</f>
        <v>0</v>
      </c>
      <c r="BI65" s="350">
        <f t="shared" ca="1" si="365"/>
        <v>0</v>
      </c>
      <c r="BJ65" s="275" t="str">
        <f t="shared" ca="1" si="366"/>
        <v>Да</v>
      </c>
      <c r="BK65" s="116">
        <f t="shared" ca="1" si="367"/>
        <v>0.8</v>
      </c>
      <c r="BL65" s="117">
        <f t="shared" ca="1" si="367"/>
        <v>1</v>
      </c>
      <c r="BM65" s="117">
        <f t="shared" ca="1" si="367"/>
        <v>1</v>
      </c>
      <c r="BN65" s="117">
        <f t="shared" ca="1" si="367"/>
        <v>1</v>
      </c>
      <c r="BO65" s="117">
        <f t="shared" ca="1" si="367"/>
        <v>1</v>
      </c>
      <c r="BP65" s="117">
        <f t="shared" ca="1" si="367"/>
        <v>1</v>
      </c>
      <c r="BQ65" s="117">
        <f t="shared" ca="1" si="367"/>
        <v>1</v>
      </c>
      <c r="BR65" s="117">
        <f t="shared" ca="1" si="367"/>
        <v>1</v>
      </c>
      <c r="BS65" s="117">
        <f t="shared" ca="1" si="367"/>
        <v>1.3</v>
      </c>
      <c r="BT65" s="117">
        <f t="shared" ca="1" si="367"/>
        <v>1.3</v>
      </c>
      <c r="BU65" s="117">
        <f t="shared" ca="1" si="367"/>
        <v>1.3</v>
      </c>
      <c r="BV65" s="278">
        <f t="shared" ca="1" si="367"/>
        <v>1.3</v>
      </c>
      <c r="BW65" s="280">
        <f t="shared" si="6"/>
        <v>3</v>
      </c>
      <c r="BX65" s="118">
        <f>IF($AN65="Ya",100%,100%+extraDelayZ)</f>
        <v>1</v>
      </c>
      <c r="BY65" s="263">
        <f t="shared" si="368"/>
        <v>1</v>
      </c>
      <c r="BZ65" s="264">
        <f t="shared" si="369"/>
        <v>1</v>
      </c>
      <c r="CA65" s="264">
        <f t="shared" si="370"/>
        <v>1</v>
      </c>
      <c r="CB65" s="264">
        <f t="shared" si="371"/>
        <v>1</v>
      </c>
      <c r="CC65" s="264">
        <f t="shared" si="372"/>
        <v>1</v>
      </c>
      <c r="CD65" s="264">
        <f t="shared" si="373"/>
        <v>1</v>
      </c>
      <c r="CE65" s="264">
        <f t="shared" si="374"/>
        <v>1</v>
      </c>
      <c r="CF65" s="264">
        <f t="shared" si="375"/>
        <v>1</v>
      </c>
      <c r="CG65" s="264">
        <f t="shared" si="376"/>
        <v>1</v>
      </c>
      <c r="CH65" s="264">
        <f t="shared" si="377"/>
        <v>1</v>
      </c>
      <c r="CI65" s="264">
        <f t="shared" si="378"/>
        <v>1</v>
      </c>
      <c r="CJ65" s="265">
        <f t="shared" si="379"/>
        <v>1</v>
      </c>
      <c r="CK65" s="269">
        <f t="array" ref="CK65">IF(ISERROR(SUM($K65:$V65*$BY65:$CJ65)/SUM($K65:$V65)),1,SUM($K65:$V65*$BY65:$CJ65)/SUM($K65:$V65))-1</f>
        <v>0</v>
      </c>
      <c r="CL65" s="234"/>
    </row>
    <row r="66" spans="1:90" s="4" customFormat="1" ht="12.75" hidden="1" outlineLevel="1" x14ac:dyDescent="0.2">
      <c r="A66" s="422"/>
      <c r="B66" s="414" t="str">
        <f t="shared" ca="1" si="348"/>
        <v>Прелоадер 500х500 до 8 секунд, Пакет "Женщины"</v>
      </c>
      <c r="C66" s="649" t="str">
        <f t="shared" ca="1" si="349"/>
        <v>Пакет</v>
      </c>
      <c r="D66" s="415">
        <f t="shared" ca="1" si="350"/>
        <v>400</v>
      </c>
      <c r="E66" s="415">
        <f t="shared" ca="1" si="351"/>
        <v>400</v>
      </c>
      <c r="F66" s="415">
        <f t="shared" ca="1" si="352"/>
        <v>400</v>
      </c>
      <c r="G66" s="416">
        <f t="shared" ca="1" si="353"/>
        <v>1000000</v>
      </c>
      <c r="H66" s="416">
        <f t="shared" ca="1" si="354"/>
        <v>1000000</v>
      </c>
      <c r="I66" s="406">
        <f t="shared" ca="1" si="380"/>
        <v>0</v>
      </c>
      <c r="J66" s="407">
        <f t="shared" ca="1" si="355"/>
        <v>0</v>
      </c>
      <c r="K66" s="426"/>
      <c r="L66" s="427"/>
      <c r="M66" s="427"/>
      <c r="N66" s="427"/>
      <c r="O66" s="427"/>
      <c r="P66" s="427"/>
      <c r="Q66" s="427"/>
      <c r="R66" s="427"/>
      <c r="S66" s="427"/>
      <c r="T66" s="427"/>
      <c r="U66" s="427"/>
      <c r="V66" s="428"/>
      <c r="W66" s="416">
        <f t="shared" ca="1" si="1"/>
        <v>0</v>
      </c>
      <c r="X66" s="416"/>
      <c r="Y66" s="420"/>
      <c r="Z66" s="412">
        <f t="shared" si="356"/>
        <v>0</v>
      </c>
      <c r="AA66" s="625"/>
      <c r="AB66" s="625"/>
      <c r="AC66" s="625"/>
      <c r="AD66" s="625"/>
      <c r="AE66" s="625"/>
      <c r="AF66" s="625"/>
      <c r="AG66" s="625"/>
      <c r="AH66" s="625"/>
      <c r="AI66" s="625"/>
      <c r="AJ66" s="625"/>
      <c r="AK66" s="625"/>
      <c r="AL66" s="625"/>
      <c r="AM66" s="626"/>
      <c r="AN66" s="351" t="s">
        <v>473</v>
      </c>
      <c r="AO66" s="351" t="str">
        <f t="shared" si="2"/>
        <v>VK.com</v>
      </c>
      <c r="AP66" s="115">
        <f t="shared" si="3"/>
        <v>4</v>
      </c>
      <c r="AQ66" s="31">
        <f t="shared" ca="1" si="357"/>
        <v>0.25</v>
      </c>
      <c r="AR66" s="31" t="str">
        <f t="shared" ca="1" si="357"/>
        <v>-</v>
      </c>
      <c r="AS66" s="35">
        <v>0</v>
      </c>
      <c r="AT66" s="229">
        <v>0</v>
      </c>
      <c r="AU66" s="344">
        <f t="shared" ca="1" si="358"/>
        <v>400</v>
      </c>
      <c r="AV66" s="345">
        <f t="shared" ca="1" si="359"/>
        <v>400</v>
      </c>
      <c r="AW66" s="346">
        <f t="shared" ca="1" si="360"/>
        <v>400</v>
      </c>
      <c r="AX66" s="280"/>
      <c r="AY66" s="280"/>
      <c r="AZ66" s="347">
        <f t="shared" ca="1" si="361"/>
        <v>1000000</v>
      </c>
      <c r="BA66" s="348">
        <f t="shared" ca="1" si="362"/>
        <v>1000000</v>
      </c>
      <c r="BB66" s="347">
        <f t="shared" ca="1" si="363"/>
        <v>2500</v>
      </c>
      <c r="BC66" s="37" t="str">
        <f t="shared" ca="1" si="363"/>
        <v>Пакет</v>
      </c>
      <c r="BD66" s="229" t="str">
        <f t="shared" ca="1" si="364"/>
        <v>Пакет</v>
      </c>
      <c r="BE66" s="283">
        <f t="shared" ca="1" si="4"/>
        <v>0</v>
      </c>
      <c r="BF66" s="347">
        <f t="array" aca="1" ref="BF66" ca="1">SUM($K66:$V66*$BK66:$BV66)*$AZ66</f>
        <v>0</v>
      </c>
      <c r="BG66" s="347">
        <f t="array" aca="1" ref="BG66" ca="1">SUM($K66:$V66*$BY66:$CJ66*$BK66:$BV66)*$AZ66*$BX66</f>
        <v>0</v>
      </c>
      <c r="BH66" s="347">
        <f t="array" aca="1" ref="BH66" ca="1">SUM($K66:$V66*$BY66:$CJ66*$BK66:$BV66)*(1-$BE66)*$AZ66*$BX66</f>
        <v>0</v>
      </c>
      <c r="BI66" s="350">
        <f t="shared" ca="1" si="365"/>
        <v>0</v>
      </c>
      <c r="BJ66" s="275" t="str">
        <f t="shared" ca="1" si="366"/>
        <v>Да</v>
      </c>
      <c r="BK66" s="116">
        <f t="shared" ca="1" si="367"/>
        <v>0.8</v>
      </c>
      <c r="BL66" s="117">
        <f t="shared" ca="1" si="367"/>
        <v>1</v>
      </c>
      <c r="BM66" s="117">
        <f t="shared" ca="1" si="367"/>
        <v>1</v>
      </c>
      <c r="BN66" s="117">
        <f t="shared" ca="1" si="367"/>
        <v>1</v>
      </c>
      <c r="BO66" s="117">
        <f t="shared" ca="1" si="367"/>
        <v>1</v>
      </c>
      <c r="BP66" s="117">
        <f t="shared" ca="1" si="367"/>
        <v>1</v>
      </c>
      <c r="BQ66" s="117">
        <f t="shared" ca="1" si="367"/>
        <v>1</v>
      </c>
      <c r="BR66" s="117">
        <f t="shared" ca="1" si="367"/>
        <v>1</v>
      </c>
      <c r="BS66" s="117">
        <f t="shared" ca="1" si="367"/>
        <v>1.3</v>
      </c>
      <c r="BT66" s="117">
        <f t="shared" ca="1" si="367"/>
        <v>1.3</v>
      </c>
      <c r="BU66" s="117">
        <f t="shared" ca="1" si="367"/>
        <v>1.3</v>
      </c>
      <c r="BV66" s="278">
        <f t="shared" ca="1" si="367"/>
        <v>1.3</v>
      </c>
      <c r="BW66" s="280">
        <f t="shared" si="6"/>
        <v>4</v>
      </c>
      <c r="BX66" s="118">
        <f>IF($AN66="Ya",100%,100%+extraDelayZ)</f>
        <v>1</v>
      </c>
      <c r="BY66" s="263">
        <f t="shared" si="368"/>
        <v>1</v>
      </c>
      <c r="BZ66" s="264">
        <f t="shared" si="369"/>
        <v>1</v>
      </c>
      <c r="CA66" s="264">
        <f t="shared" si="370"/>
        <v>1</v>
      </c>
      <c r="CB66" s="264">
        <f t="shared" si="371"/>
        <v>1</v>
      </c>
      <c r="CC66" s="264">
        <f t="shared" si="372"/>
        <v>1</v>
      </c>
      <c r="CD66" s="264">
        <f t="shared" si="373"/>
        <v>1</v>
      </c>
      <c r="CE66" s="264">
        <f t="shared" si="374"/>
        <v>1</v>
      </c>
      <c r="CF66" s="264">
        <f t="shared" si="375"/>
        <v>1</v>
      </c>
      <c r="CG66" s="264">
        <f t="shared" si="376"/>
        <v>1</v>
      </c>
      <c r="CH66" s="264">
        <f t="shared" si="377"/>
        <v>1</v>
      </c>
      <c r="CI66" s="264">
        <f t="shared" si="378"/>
        <v>1</v>
      </c>
      <c r="CJ66" s="265">
        <f t="shared" si="379"/>
        <v>1</v>
      </c>
      <c r="CK66" s="269">
        <f t="array" ref="CK66">IF(ISERROR(SUM($K66:$V66*$BY66:$CJ66)/SUM($K66:$V66)),1,SUM($K66:$V66*$BY66:$CJ66)/SUM($K66:$V66))-1</f>
        <v>0</v>
      </c>
      <c r="CL66" s="234"/>
    </row>
    <row r="67" spans="1:90" s="4" customFormat="1" ht="15" collapsed="1" x14ac:dyDescent="0.2">
      <c r="A67" s="391"/>
      <c r="B67" s="392" t="str">
        <f>CONCATENATE($AO67,IF($AX67&gt;0,CONCATENATE("  (план ",TEXT(INDEX(indBudX,MATCH($AN67,indPrefixX,0)),"# ##0")," руб.)"),""))</f>
        <v>RBC.ru</v>
      </c>
      <c r="C67" s="650" t="s">
        <v>363</v>
      </c>
      <c r="D67" s="393"/>
      <c r="E67" s="394"/>
      <c r="F67" s="394"/>
      <c r="G67" s="395"/>
      <c r="H67" s="395"/>
      <c r="I67" s="395">
        <f t="shared" ca="1" si="380"/>
        <v>0</v>
      </c>
      <c r="J67" s="396">
        <f ca="1">$BH67</f>
        <v>0</v>
      </c>
      <c r="K67" s="433"/>
      <c r="L67" s="434"/>
      <c r="M67" s="434"/>
      <c r="N67" s="434"/>
      <c r="O67" s="434"/>
      <c r="P67" s="434"/>
      <c r="Q67" s="434"/>
      <c r="R67" s="434"/>
      <c r="S67" s="434"/>
      <c r="T67" s="434"/>
      <c r="U67" s="434"/>
      <c r="V67" s="435"/>
      <c r="W67" s="395">
        <f t="shared" ca="1" si="1"/>
        <v>0</v>
      </c>
      <c r="X67" s="576"/>
      <c r="Y67" s="400">
        <f ca="1">$BE67</f>
        <v>0</v>
      </c>
      <c r="Z67" s="401"/>
      <c r="AA67" s="402"/>
      <c r="AB67" s="402"/>
      <c r="AC67" s="402"/>
      <c r="AD67" s="402"/>
      <c r="AE67" s="402"/>
      <c r="AF67" s="402"/>
      <c r="AG67" s="402"/>
      <c r="AH67" s="402"/>
      <c r="AI67" s="402"/>
      <c r="AJ67" s="402"/>
      <c r="AK67" s="402"/>
      <c r="AL67" s="402"/>
      <c r="AM67" s="402"/>
      <c r="AN67" s="130" t="s">
        <v>266</v>
      </c>
      <c r="AO67" s="130" t="str">
        <f t="shared" si="2"/>
        <v>RBC.ru</v>
      </c>
      <c r="AP67" s="119">
        <f t="shared" si="3"/>
        <v>15</v>
      </c>
      <c r="AQ67" s="120"/>
      <c r="AR67" s="120"/>
      <c r="AS67" s="121"/>
      <c r="AT67" s="228"/>
      <c r="AU67" s="232"/>
      <c r="AV67" s="179"/>
      <c r="AW67" s="233"/>
      <c r="AX67" s="279">
        <f>IF(ISERROR(INDEX(indBudX,MATCH($AN67,indPrefixX,0))),0,INDEX(indBudX,MATCH($AN67,indPrefixX,0)))</f>
        <v>0</v>
      </c>
      <c r="AY67" s="279">
        <f>IF(ISNUMBER($X67),$X67,0)</f>
        <v>0</v>
      </c>
      <c r="AZ67" s="123"/>
      <c r="BA67" s="125"/>
      <c r="BB67" s="123"/>
      <c r="BC67" s="124"/>
      <c r="BD67" s="464"/>
      <c r="BE67" s="282">
        <f t="shared" ca="1" si="4"/>
        <v>0</v>
      </c>
      <c r="BF67" s="123">
        <f t="shared" ref="BF67:BI67" ca="1" si="381">SUM(OFFSET(BF67,1,0,$AP67-1,1))</f>
        <v>0</v>
      </c>
      <c r="BG67" s="123">
        <f t="shared" ca="1" si="381"/>
        <v>0</v>
      </c>
      <c r="BH67" s="123">
        <f t="shared" ca="1" si="381"/>
        <v>0</v>
      </c>
      <c r="BI67" s="273">
        <f t="shared" ca="1" si="381"/>
        <v>0</v>
      </c>
      <c r="BJ67" s="274"/>
      <c r="BK67" s="126"/>
      <c r="BL67" s="127"/>
      <c r="BM67" s="127"/>
      <c r="BN67" s="127"/>
      <c r="BO67" s="127"/>
      <c r="BP67" s="127"/>
      <c r="BQ67" s="127"/>
      <c r="BR67" s="127"/>
      <c r="BS67" s="127"/>
      <c r="BT67" s="127"/>
      <c r="BU67" s="127"/>
      <c r="BV67" s="277"/>
      <c r="BW67" s="279">
        <f t="shared" si="6"/>
        <v>1</v>
      </c>
      <c r="BX67" s="128"/>
      <c r="BY67" s="260"/>
      <c r="BZ67" s="261"/>
      <c r="CA67" s="261"/>
      <c r="CB67" s="261"/>
      <c r="CC67" s="261"/>
      <c r="CD67" s="261"/>
      <c r="CE67" s="261"/>
      <c r="CF67" s="261"/>
      <c r="CG67" s="261"/>
      <c r="CH67" s="261"/>
      <c r="CI67" s="261"/>
      <c r="CJ67" s="262"/>
      <c r="CK67" s="270"/>
      <c r="CL67" s="234"/>
    </row>
    <row r="68" spans="1:90" s="4" customFormat="1" ht="12.75" hidden="1" outlineLevel="1" x14ac:dyDescent="0.2">
      <c r="A68" s="422"/>
      <c r="B68" s="404" t="str">
        <f t="shared" ca="1" si="348"/>
        <v>Пакет "Охват 3000К", 240х200</v>
      </c>
      <c r="C68" s="649" t="str">
        <f t="shared" ca="1" si="349"/>
        <v>Пакет</v>
      </c>
      <c r="D68" s="405">
        <f t="shared" ca="1" si="350"/>
        <v>500</v>
      </c>
      <c r="E68" s="405">
        <f t="shared" ca="1" si="351"/>
        <v>500</v>
      </c>
      <c r="F68" s="405">
        <f t="shared" ca="1" si="352"/>
        <v>500</v>
      </c>
      <c r="G68" s="406">
        <f t="shared" ca="1" si="353"/>
        <v>1500000</v>
      </c>
      <c r="H68" s="406">
        <f t="shared" ca="1" si="354"/>
        <v>1500000</v>
      </c>
      <c r="I68" s="406">
        <f t="shared" ca="1" si="380"/>
        <v>0</v>
      </c>
      <c r="J68" s="407">
        <f t="shared" ca="1" si="355"/>
        <v>0</v>
      </c>
      <c r="K68" s="423"/>
      <c r="L68" s="424"/>
      <c r="M68" s="424"/>
      <c r="N68" s="424"/>
      <c r="O68" s="424"/>
      <c r="P68" s="424"/>
      <c r="Q68" s="424"/>
      <c r="R68" s="424"/>
      <c r="S68" s="424"/>
      <c r="T68" s="424"/>
      <c r="U68" s="424"/>
      <c r="V68" s="425"/>
      <c r="W68" s="406">
        <f t="shared" ca="1" si="1"/>
        <v>0</v>
      </c>
      <c r="X68" s="406"/>
      <c r="Y68" s="411"/>
      <c r="Z68" s="412">
        <f t="shared" ref="Z68:Z81" si="382">CK68</f>
        <v>0</v>
      </c>
      <c r="AA68" s="620"/>
      <c r="AB68" s="620"/>
      <c r="AC68" s="620"/>
      <c r="AD68" s="620"/>
      <c r="AE68" s="620"/>
      <c r="AF68" s="620"/>
      <c r="AG68" s="620"/>
      <c r="AH68" s="620"/>
      <c r="AI68" s="620"/>
      <c r="AJ68" s="620"/>
      <c r="AK68" s="620"/>
      <c r="AL68" s="620"/>
      <c r="AM68" s="621"/>
      <c r="AN68" s="351" t="s">
        <v>266</v>
      </c>
      <c r="AO68" s="351" t="str">
        <f t="shared" si="2"/>
        <v>RBC.ru</v>
      </c>
      <c r="AP68" s="115">
        <f t="shared" si="3"/>
        <v>15</v>
      </c>
      <c r="AQ68" s="31">
        <f t="shared" ca="1" si="357"/>
        <v>0.25</v>
      </c>
      <c r="AR68" s="31" t="str">
        <f t="shared" ca="1" si="357"/>
        <v>-</v>
      </c>
      <c r="AS68" s="35">
        <v>0</v>
      </c>
      <c r="AT68" s="229">
        <v>0</v>
      </c>
      <c r="AU68" s="344">
        <f t="shared" ca="1" si="358"/>
        <v>500</v>
      </c>
      <c r="AV68" s="345">
        <f t="shared" ca="1" si="359"/>
        <v>500</v>
      </c>
      <c r="AW68" s="346">
        <f t="shared" ca="1" si="360"/>
        <v>500</v>
      </c>
      <c r="AX68" s="280"/>
      <c r="AY68" s="280"/>
      <c r="AZ68" s="347">
        <f t="shared" ca="1" si="361"/>
        <v>1500000</v>
      </c>
      <c r="BA68" s="348">
        <f t="shared" ca="1" si="362"/>
        <v>1500000</v>
      </c>
      <c r="BB68" s="347">
        <f t="shared" ca="1" si="363"/>
        <v>3000</v>
      </c>
      <c r="BC68" s="37" t="str">
        <f t="shared" ca="1" si="363"/>
        <v>Пакет</v>
      </c>
      <c r="BD68" s="229" t="str">
        <f t="shared" ca="1" si="364"/>
        <v>Пакет</v>
      </c>
      <c r="BE68" s="283">
        <f t="shared" ca="1" si="4"/>
        <v>0</v>
      </c>
      <c r="BF68" s="347">
        <f t="array" aca="1" ref="BF68" ca="1">SUM($K68:$V68*$BK68:$BV68)*$AZ68</f>
        <v>0</v>
      </c>
      <c r="BG68" s="347">
        <f t="array" aca="1" ref="BG68" ca="1">SUM($K68:$V68*$BY68:$CJ68*$BK68:$BV68)*$AZ68*$BX68</f>
        <v>0</v>
      </c>
      <c r="BH68" s="347">
        <f t="array" aca="1" ref="BH68" ca="1">SUM($K68:$V68*$BY68:$CJ68*$BK68:$BV68)*(1-$BE68)*$AZ68*$BX68</f>
        <v>0</v>
      </c>
      <c r="BI68" s="350">
        <f t="shared" ca="1" si="365"/>
        <v>0</v>
      </c>
      <c r="BJ68" s="275" t="str">
        <f t="shared" ca="1" si="366"/>
        <v>Да</v>
      </c>
      <c r="BK68" s="116">
        <f t="shared" ca="1" si="367"/>
        <v>0.6</v>
      </c>
      <c r="BL68" s="117">
        <f t="shared" ca="1" si="367"/>
        <v>0.7</v>
      </c>
      <c r="BM68" s="117">
        <f t="shared" ca="1" si="367"/>
        <v>1</v>
      </c>
      <c r="BN68" s="117">
        <f t="shared" ca="1" si="367"/>
        <v>1.1000000000000001</v>
      </c>
      <c r="BO68" s="117">
        <f t="shared" ca="1" si="367"/>
        <v>1</v>
      </c>
      <c r="BP68" s="117">
        <f t="shared" ca="1" si="367"/>
        <v>1</v>
      </c>
      <c r="BQ68" s="117">
        <f t="shared" ca="1" si="367"/>
        <v>0.7</v>
      </c>
      <c r="BR68" s="117">
        <f t="shared" ca="1" si="367"/>
        <v>0.7</v>
      </c>
      <c r="BS68" s="117">
        <f t="shared" ca="1" si="367"/>
        <v>1.25</v>
      </c>
      <c r="BT68" s="117">
        <f t="shared" ca="1" si="367"/>
        <v>1.25</v>
      </c>
      <c r="BU68" s="117">
        <f t="shared" ca="1" si="367"/>
        <v>1.25</v>
      </c>
      <c r="BV68" s="278">
        <f t="shared" ca="1" si="367"/>
        <v>1.25</v>
      </c>
      <c r="BW68" s="280">
        <f t="shared" si="6"/>
        <v>2</v>
      </c>
      <c r="BX68" s="118">
        <f>IF($AN68="Ya",100%,100%+extraDelayZ)</f>
        <v>1</v>
      </c>
      <c r="BY68" s="263">
        <f t="shared" ref="BY68:BY81" si="383">(1+AA68)</f>
        <v>1</v>
      </c>
      <c r="BZ68" s="264">
        <f t="shared" ref="BZ68:BZ81" si="384">(1+AB68)</f>
        <v>1</v>
      </c>
      <c r="CA68" s="264">
        <f t="shared" ref="CA68:CA81" si="385">(1+AC68)</f>
        <v>1</v>
      </c>
      <c r="CB68" s="264">
        <f t="shared" ref="CB68:CB81" si="386">(1+AD68)</f>
        <v>1</v>
      </c>
      <c r="CC68" s="264">
        <f t="shared" ref="CC68:CC81" si="387">(1+AE68)</f>
        <v>1</v>
      </c>
      <c r="CD68" s="264">
        <f t="shared" ref="CD68:CD81" si="388">(1+AF68)</f>
        <v>1</v>
      </c>
      <c r="CE68" s="264">
        <f t="shared" ref="CE68:CE81" si="389">(1+AG68)</f>
        <v>1</v>
      </c>
      <c r="CF68" s="264">
        <f t="shared" ref="CF68:CF81" si="390">(1+AH68)</f>
        <v>1</v>
      </c>
      <c r="CG68" s="264">
        <f t="shared" ref="CG68:CG81" si="391">(1+AI68)</f>
        <v>1</v>
      </c>
      <c r="CH68" s="264">
        <f t="shared" ref="CH68:CH81" si="392">(1+AJ68)</f>
        <v>1</v>
      </c>
      <c r="CI68" s="264">
        <f t="shared" ref="CI68:CI81" si="393">(1+AK68)</f>
        <v>1</v>
      </c>
      <c r="CJ68" s="265">
        <f t="shared" ref="CJ68:CJ81" si="394">(1+AL68)</f>
        <v>1</v>
      </c>
      <c r="CK68" s="269">
        <f t="array" ref="CK68">IF(ISERROR(SUM($K68:$V68*$BY68:$CJ68)/SUM($K68:$V68)),1,SUM($K68:$V68*$BY68:$CJ68)/SUM($K68:$V68))-1</f>
        <v>0</v>
      </c>
      <c r="CL68" s="234"/>
    </row>
    <row r="69" spans="1:90" s="4" customFormat="1" ht="12.75" hidden="1" outlineLevel="1" x14ac:dyDescent="0.2">
      <c r="A69" s="422"/>
      <c r="B69" s="404" t="str">
        <f t="shared" ca="1" si="348"/>
        <v>Пакет "Охват 6000К", 240х200</v>
      </c>
      <c r="C69" s="649" t="str">
        <f t="shared" ca="1" si="349"/>
        <v>Пакет</v>
      </c>
      <c r="D69" s="405">
        <f t="shared" ca="1" si="350"/>
        <v>450</v>
      </c>
      <c r="E69" s="405">
        <f t="shared" ca="1" si="351"/>
        <v>450</v>
      </c>
      <c r="F69" s="405">
        <f t="shared" ca="1" si="352"/>
        <v>450</v>
      </c>
      <c r="G69" s="406">
        <f t="shared" ca="1" si="353"/>
        <v>2700000</v>
      </c>
      <c r="H69" s="406">
        <f t="shared" ca="1" si="354"/>
        <v>2700000</v>
      </c>
      <c r="I69" s="406">
        <f t="shared" ca="1" si="380"/>
        <v>0</v>
      </c>
      <c r="J69" s="407">
        <f t="shared" ca="1" si="355"/>
        <v>0</v>
      </c>
      <c r="K69" s="423"/>
      <c r="L69" s="424"/>
      <c r="M69" s="424"/>
      <c r="N69" s="424"/>
      <c r="O69" s="424"/>
      <c r="P69" s="424"/>
      <c r="Q69" s="424"/>
      <c r="R69" s="424"/>
      <c r="S69" s="424"/>
      <c r="T69" s="424"/>
      <c r="U69" s="424"/>
      <c r="V69" s="425"/>
      <c r="W69" s="406">
        <f t="shared" ca="1" si="1"/>
        <v>0</v>
      </c>
      <c r="X69" s="406"/>
      <c r="Y69" s="411"/>
      <c r="Z69" s="412">
        <f t="shared" si="382"/>
        <v>0</v>
      </c>
      <c r="AA69" s="620"/>
      <c r="AB69" s="620"/>
      <c r="AC69" s="620"/>
      <c r="AD69" s="620"/>
      <c r="AE69" s="620"/>
      <c r="AF69" s="620"/>
      <c r="AG69" s="620"/>
      <c r="AH69" s="620"/>
      <c r="AI69" s="620"/>
      <c r="AJ69" s="620"/>
      <c r="AK69" s="620"/>
      <c r="AL69" s="620"/>
      <c r="AM69" s="621"/>
      <c r="AN69" s="351" t="s">
        <v>266</v>
      </c>
      <c r="AO69" s="351" t="str">
        <f t="shared" si="2"/>
        <v>RBC.ru</v>
      </c>
      <c r="AP69" s="115">
        <f t="shared" si="3"/>
        <v>15</v>
      </c>
      <c r="AQ69" s="31">
        <f t="shared" ca="1" si="357"/>
        <v>0.25</v>
      </c>
      <c r="AR69" s="31" t="str">
        <f t="shared" ca="1" si="357"/>
        <v>-</v>
      </c>
      <c r="AS69" s="35">
        <v>0</v>
      </c>
      <c r="AT69" s="229">
        <v>0</v>
      </c>
      <c r="AU69" s="344">
        <f t="shared" ca="1" si="358"/>
        <v>450</v>
      </c>
      <c r="AV69" s="345">
        <f t="shared" ca="1" si="359"/>
        <v>450</v>
      </c>
      <c r="AW69" s="346">
        <f t="shared" ca="1" si="360"/>
        <v>450</v>
      </c>
      <c r="AX69" s="280"/>
      <c r="AY69" s="280"/>
      <c r="AZ69" s="347">
        <f t="shared" ca="1" si="361"/>
        <v>2700000</v>
      </c>
      <c r="BA69" s="348">
        <f t="shared" ca="1" si="362"/>
        <v>2700000</v>
      </c>
      <c r="BB69" s="347">
        <f t="shared" ca="1" si="363"/>
        <v>6000</v>
      </c>
      <c r="BC69" s="37" t="str">
        <f t="shared" ca="1" si="363"/>
        <v>Пакет</v>
      </c>
      <c r="BD69" s="229" t="str">
        <f t="shared" ca="1" si="364"/>
        <v>Пакет</v>
      </c>
      <c r="BE69" s="283">
        <f t="shared" ca="1" si="4"/>
        <v>0</v>
      </c>
      <c r="BF69" s="347">
        <f t="array" aca="1" ref="BF69" ca="1">SUM($K69:$V69*$BK69:$BV69)*$AZ69</f>
        <v>0</v>
      </c>
      <c r="BG69" s="347">
        <f t="array" aca="1" ref="BG69" ca="1">SUM($K69:$V69*$BY69:$CJ69*$BK69:$BV69)*$AZ69*$BX69</f>
        <v>0</v>
      </c>
      <c r="BH69" s="347">
        <f t="array" aca="1" ref="BH69" ca="1">SUM($K69:$V69*$BY69:$CJ69*$BK69:$BV69)*(1-$BE69)*$AZ69*$BX69</f>
        <v>0</v>
      </c>
      <c r="BI69" s="350">
        <f t="shared" ca="1" si="365"/>
        <v>0</v>
      </c>
      <c r="BJ69" s="275" t="str">
        <f t="shared" ca="1" si="366"/>
        <v>Да</v>
      </c>
      <c r="BK69" s="116">
        <f t="shared" ca="1" si="367"/>
        <v>0.6</v>
      </c>
      <c r="BL69" s="117">
        <f t="shared" ca="1" si="367"/>
        <v>0.7</v>
      </c>
      <c r="BM69" s="117">
        <f t="shared" ca="1" si="367"/>
        <v>1</v>
      </c>
      <c r="BN69" s="117">
        <f t="shared" ca="1" si="367"/>
        <v>1.1000000000000001</v>
      </c>
      <c r="BO69" s="117">
        <f t="shared" ca="1" si="367"/>
        <v>1</v>
      </c>
      <c r="BP69" s="117">
        <f t="shared" ca="1" si="367"/>
        <v>1</v>
      </c>
      <c r="BQ69" s="117">
        <f t="shared" ca="1" si="367"/>
        <v>0.7</v>
      </c>
      <c r="BR69" s="117">
        <f t="shared" ca="1" si="367"/>
        <v>0.7</v>
      </c>
      <c r="BS69" s="117">
        <f t="shared" ca="1" si="367"/>
        <v>1.25</v>
      </c>
      <c r="BT69" s="117">
        <f t="shared" ca="1" si="367"/>
        <v>1.25</v>
      </c>
      <c r="BU69" s="117">
        <f t="shared" ca="1" si="367"/>
        <v>1.25</v>
      </c>
      <c r="BV69" s="278">
        <f t="shared" ca="1" si="367"/>
        <v>1.25</v>
      </c>
      <c r="BW69" s="280">
        <f t="shared" si="6"/>
        <v>3</v>
      </c>
      <c r="BX69" s="118">
        <f>IF($AN69="Ya",100%,100%+extraDelayZ)</f>
        <v>1</v>
      </c>
      <c r="BY69" s="263">
        <f t="shared" si="383"/>
        <v>1</v>
      </c>
      <c r="BZ69" s="264">
        <f t="shared" si="384"/>
        <v>1</v>
      </c>
      <c r="CA69" s="264">
        <f t="shared" si="385"/>
        <v>1</v>
      </c>
      <c r="CB69" s="264">
        <f t="shared" si="386"/>
        <v>1</v>
      </c>
      <c r="CC69" s="264">
        <f t="shared" si="387"/>
        <v>1</v>
      </c>
      <c r="CD69" s="264">
        <f t="shared" si="388"/>
        <v>1</v>
      </c>
      <c r="CE69" s="264">
        <f t="shared" si="389"/>
        <v>1</v>
      </c>
      <c r="CF69" s="264">
        <f t="shared" si="390"/>
        <v>1</v>
      </c>
      <c r="CG69" s="264">
        <f t="shared" si="391"/>
        <v>1</v>
      </c>
      <c r="CH69" s="264">
        <f t="shared" si="392"/>
        <v>1</v>
      </c>
      <c r="CI69" s="264">
        <f t="shared" si="393"/>
        <v>1</v>
      </c>
      <c r="CJ69" s="265">
        <f t="shared" si="394"/>
        <v>1</v>
      </c>
      <c r="CK69" s="269">
        <f t="array" ref="CK69">IF(ISERROR(SUM($K69:$V69*$BY69:$CJ69)/SUM($K69:$V69)),1,SUM($K69:$V69*$BY69:$CJ69)/SUM($K69:$V69))-1</f>
        <v>0</v>
      </c>
      <c r="CL69" s="234"/>
    </row>
    <row r="70" spans="1:90" s="4" customFormat="1" ht="12.75" hidden="1" outlineLevel="1" x14ac:dyDescent="0.2">
      <c r="A70" s="422"/>
      <c r="B70" s="404" t="str">
        <f t="shared" ca="1" si="348"/>
        <v>Пакет "Бизнес 1500К", 240х200</v>
      </c>
      <c r="C70" s="649" t="str">
        <f t="shared" ca="1" si="349"/>
        <v>Пакет</v>
      </c>
      <c r="D70" s="405">
        <f t="shared" ca="1" si="350"/>
        <v>575</v>
      </c>
      <c r="E70" s="405">
        <f t="shared" ca="1" si="351"/>
        <v>575</v>
      </c>
      <c r="F70" s="405">
        <f t="shared" ca="1" si="352"/>
        <v>575</v>
      </c>
      <c r="G70" s="406">
        <f t="shared" ca="1" si="353"/>
        <v>862500</v>
      </c>
      <c r="H70" s="406">
        <f t="shared" ca="1" si="354"/>
        <v>862500</v>
      </c>
      <c r="I70" s="406">
        <f t="shared" ca="1" si="380"/>
        <v>0</v>
      </c>
      <c r="J70" s="407">
        <f t="shared" ca="1" si="355"/>
        <v>0</v>
      </c>
      <c r="K70" s="423"/>
      <c r="L70" s="424"/>
      <c r="M70" s="424"/>
      <c r="N70" s="424"/>
      <c r="O70" s="424"/>
      <c r="P70" s="424"/>
      <c r="Q70" s="424"/>
      <c r="R70" s="424"/>
      <c r="S70" s="424"/>
      <c r="T70" s="424"/>
      <c r="U70" s="424"/>
      <c r="V70" s="425"/>
      <c r="W70" s="406">
        <f t="shared" ca="1" si="1"/>
        <v>0</v>
      </c>
      <c r="X70" s="406"/>
      <c r="Y70" s="411"/>
      <c r="Z70" s="412">
        <f t="shared" si="382"/>
        <v>0</v>
      </c>
      <c r="AA70" s="620"/>
      <c r="AB70" s="620"/>
      <c r="AC70" s="620"/>
      <c r="AD70" s="620"/>
      <c r="AE70" s="620"/>
      <c r="AF70" s="620"/>
      <c r="AG70" s="620"/>
      <c r="AH70" s="620"/>
      <c r="AI70" s="620"/>
      <c r="AJ70" s="620"/>
      <c r="AK70" s="620"/>
      <c r="AL70" s="620"/>
      <c r="AM70" s="621"/>
      <c r="AN70" s="351" t="s">
        <v>266</v>
      </c>
      <c r="AO70" s="351" t="str">
        <f t="shared" si="2"/>
        <v>RBC.ru</v>
      </c>
      <c r="AP70" s="115">
        <f t="shared" si="3"/>
        <v>15</v>
      </c>
      <c r="AQ70" s="31">
        <f t="shared" ca="1" si="357"/>
        <v>0.25</v>
      </c>
      <c r="AR70" s="31" t="str">
        <f t="shared" ca="1" si="357"/>
        <v>-</v>
      </c>
      <c r="AS70" s="35">
        <v>0</v>
      </c>
      <c r="AT70" s="229">
        <v>0</v>
      </c>
      <c r="AU70" s="344">
        <f t="shared" ca="1" si="358"/>
        <v>575</v>
      </c>
      <c r="AV70" s="345">
        <f t="shared" ca="1" si="359"/>
        <v>575</v>
      </c>
      <c r="AW70" s="346">
        <f t="shared" ca="1" si="360"/>
        <v>575</v>
      </c>
      <c r="AX70" s="280"/>
      <c r="AY70" s="280"/>
      <c r="AZ70" s="347">
        <f t="shared" ca="1" si="361"/>
        <v>862500</v>
      </c>
      <c r="BA70" s="348">
        <f t="shared" ca="1" si="362"/>
        <v>862500</v>
      </c>
      <c r="BB70" s="347">
        <f t="shared" ca="1" si="363"/>
        <v>1500</v>
      </c>
      <c r="BC70" s="37" t="str">
        <f t="shared" ca="1" si="363"/>
        <v>Пакет</v>
      </c>
      <c r="BD70" s="229" t="str">
        <f t="shared" ca="1" si="364"/>
        <v>Пакет</v>
      </c>
      <c r="BE70" s="283">
        <f t="shared" ca="1" si="4"/>
        <v>0</v>
      </c>
      <c r="BF70" s="347">
        <f t="array" aca="1" ref="BF70" ca="1">SUM($K70:$V70*$BK70:$BV70)*$AZ70</f>
        <v>0</v>
      </c>
      <c r="BG70" s="347">
        <f t="array" aca="1" ref="BG70" ca="1">SUM($K70:$V70*$BY70:$CJ70*$BK70:$BV70)*$AZ70*$BX70</f>
        <v>0</v>
      </c>
      <c r="BH70" s="347">
        <f t="array" aca="1" ref="BH70" ca="1">SUM($K70:$V70*$BY70:$CJ70*$BK70:$BV70)*(1-$BE70)*$AZ70*$BX70</f>
        <v>0</v>
      </c>
      <c r="BI70" s="350">
        <f t="shared" ca="1" si="365"/>
        <v>0</v>
      </c>
      <c r="BJ70" s="275" t="str">
        <f t="shared" ca="1" si="366"/>
        <v>Да</v>
      </c>
      <c r="BK70" s="116">
        <f t="shared" ca="1" si="367"/>
        <v>0.6</v>
      </c>
      <c r="BL70" s="117">
        <f t="shared" ca="1" si="367"/>
        <v>0.7</v>
      </c>
      <c r="BM70" s="117">
        <f t="shared" ca="1" si="367"/>
        <v>1</v>
      </c>
      <c r="BN70" s="117">
        <f t="shared" ca="1" si="367"/>
        <v>1.1000000000000001</v>
      </c>
      <c r="BO70" s="117">
        <f t="shared" ca="1" si="367"/>
        <v>1</v>
      </c>
      <c r="BP70" s="117">
        <f t="shared" ca="1" si="367"/>
        <v>1</v>
      </c>
      <c r="BQ70" s="117">
        <f t="shared" ca="1" si="367"/>
        <v>0.7</v>
      </c>
      <c r="BR70" s="117">
        <f t="shared" ca="1" si="367"/>
        <v>0.7</v>
      </c>
      <c r="BS70" s="117">
        <f t="shared" ca="1" si="367"/>
        <v>1.25</v>
      </c>
      <c r="BT70" s="117">
        <f t="shared" ca="1" si="367"/>
        <v>1.25</v>
      </c>
      <c r="BU70" s="117">
        <f t="shared" ca="1" si="367"/>
        <v>1.25</v>
      </c>
      <c r="BV70" s="278">
        <f t="shared" ca="1" si="367"/>
        <v>1.25</v>
      </c>
      <c r="BW70" s="280">
        <f t="shared" si="6"/>
        <v>4</v>
      </c>
      <c r="BX70" s="118">
        <f>IF($AN70="Ya",100%,100%+extraDelayZ)</f>
        <v>1</v>
      </c>
      <c r="BY70" s="263">
        <f t="shared" si="383"/>
        <v>1</v>
      </c>
      <c r="BZ70" s="264">
        <f t="shared" si="384"/>
        <v>1</v>
      </c>
      <c r="CA70" s="264">
        <f t="shared" si="385"/>
        <v>1</v>
      </c>
      <c r="CB70" s="264">
        <f t="shared" si="386"/>
        <v>1</v>
      </c>
      <c r="CC70" s="264">
        <f t="shared" si="387"/>
        <v>1</v>
      </c>
      <c r="CD70" s="264">
        <f t="shared" si="388"/>
        <v>1</v>
      </c>
      <c r="CE70" s="264">
        <f t="shared" si="389"/>
        <v>1</v>
      </c>
      <c r="CF70" s="264">
        <f t="shared" si="390"/>
        <v>1</v>
      </c>
      <c r="CG70" s="264">
        <f t="shared" si="391"/>
        <v>1</v>
      </c>
      <c r="CH70" s="264">
        <f t="shared" si="392"/>
        <v>1</v>
      </c>
      <c r="CI70" s="264">
        <f t="shared" si="393"/>
        <v>1</v>
      </c>
      <c r="CJ70" s="265">
        <f t="shared" si="394"/>
        <v>1</v>
      </c>
      <c r="CK70" s="269">
        <f t="array" ref="CK70">IF(ISERROR(SUM($K70:$V70*$BY70:$CJ70)/SUM($K70:$V70)),1,SUM($K70:$V70*$BY70:$CJ70)/SUM($K70:$V70))-1</f>
        <v>0</v>
      </c>
      <c r="CL70" s="234"/>
    </row>
    <row r="71" spans="1:90" s="4" customFormat="1" ht="12.75" hidden="1" outlineLevel="1" x14ac:dyDescent="0.2">
      <c r="A71" s="422"/>
      <c r="B71" s="404" t="str">
        <f t="shared" ca="1" si="348"/>
        <v>Пакет "Бизнес 3000К", 240х200</v>
      </c>
      <c r="C71" s="649" t="str">
        <f t="shared" ca="1" si="349"/>
        <v>Пакет</v>
      </c>
      <c r="D71" s="405">
        <f t="shared" ca="1" si="350"/>
        <v>525</v>
      </c>
      <c r="E71" s="405">
        <f t="shared" ca="1" si="351"/>
        <v>525</v>
      </c>
      <c r="F71" s="405">
        <f t="shared" ca="1" si="352"/>
        <v>525</v>
      </c>
      <c r="G71" s="406">
        <f t="shared" ca="1" si="353"/>
        <v>1575000</v>
      </c>
      <c r="H71" s="406">
        <f t="shared" ca="1" si="354"/>
        <v>1575000</v>
      </c>
      <c r="I71" s="406">
        <f t="shared" ca="1" si="380"/>
        <v>0</v>
      </c>
      <c r="J71" s="407">
        <f t="shared" ca="1" si="355"/>
        <v>0</v>
      </c>
      <c r="K71" s="423"/>
      <c r="L71" s="424"/>
      <c r="M71" s="424"/>
      <c r="N71" s="424"/>
      <c r="O71" s="424"/>
      <c r="P71" s="424"/>
      <c r="Q71" s="424"/>
      <c r="R71" s="424"/>
      <c r="S71" s="424"/>
      <c r="T71" s="424"/>
      <c r="U71" s="424"/>
      <c r="V71" s="425"/>
      <c r="W71" s="406">
        <f t="shared" ca="1" si="1"/>
        <v>0</v>
      </c>
      <c r="X71" s="406"/>
      <c r="Y71" s="411"/>
      <c r="Z71" s="412">
        <f t="shared" si="382"/>
        <v>0</v>
      </c>
      <c r="AA71" s="620"/>
      <c r="AB71" s="620"/>
      <c r="AC71" s="620"/>
      <c r="AD71" s="620"/>
      <c r="AE71" s="620"/>
      <c r="AF71" s="620"/>
      <c r="AG71" s="620"/>
      <c r="AH71" s="620"/>
      <c r="AI71" s="620"/>
      <c r="AJ71" s="620"/>
      <c r="AK71" s="620"/>
      <c r="AL71" s="620"/>
      <c r="AM71" s="621"/>
      <c r="AN71" s="351" t="s">
        <v>266</v>
      </c>
      <c r="AO71" s="351" t="str">
        <f t="shared" si="2"/>
        <v>RBC.ru</v>
      </c>
      <c r="AP71" s="115">
        <f t="shared" si="3"/>
        <v>15</v>
      </c>
      <c r="AQ71" s="31">
        <f t="shared" ca="1" si="357"/>
        <v>0.25</v>
      </c>
      <c r="AR71" s="31" t="str">
        <f t="shared" ca="1" si="357"/>
        <v>-</v>
      </c>
      <c r="AS71" s="35">
        <v>0</v>
      </c>
      <c r="AT71" s="229">
        <v>0</v>
      </c>
      <c r="AU71" s="344">
        <f t="shared" ca="1" si="358"/>
        <v>525</v>
      </c>
      <c r="AV71" s="345">
        <f t="shared" ca="1" si="359"/>
        <v>525</v>
      </c>
      <c r="AW71" s="346">
        <f t="shared" ca="1" si="360"/>
        <v>525</v>
      </c>
      <c r="AX71" s="280"/>
      <c r="AY71" s="280"/>
      <c r="AZ71" s="347">
        <f t="shared" ca="1" si="361"/>
        <v>1575000</v>
      </c>
      <c r="BA71" s="348">
        <f t="shared" ca="1" si="362"/>
        <v>1575000</v>
      </c>
      <c r="BB71" s="347">
        <f t="shared" ca="1" si="363"/>
        <v>3000</v>
      </c>
      <c r="BC71" s="37" t="str">
        <f t="shared" ca="1" si="363"/>
        <v>Пакет</v>
      </c>
      <c r="BD71" s="229" t="str">
        <f t="shared" ca="1" si="364"/>
        <v>Пакет</v>
      </c>
      <c r="BE71" s="283">
        <f t="shared" ca="1" si="4"/>
        <v>0</v>
      </c>
      <c r="BF71" s="347">
        <f t="array" aca="1" ref="BF71" ca="1">SUM($K71:$V71*$BK71:$BV71)*$AZ71</f>
        <v>0</v>
      </c>
      <c r="BG71" s="347">
        <f t="array" aca="1" ref="BG71" ca="1">SUM($K71:$V71*$BY71:$CJ71*$BK71:$BV71)*$AZ71*$BX71</f>
        <v>0</v>
      </c>
      <c r="BH71" s="347">
        <f t="array" aca="1" ref="BH71" ca="1">SUM($K71:$V71*$BY71:$CJ71*$BK71:$BV71)*(1-$BE71)*$AZ71*$BX71</f>
        <v>0</v>
      </c>
      <c r="BI71" s="350">
        <f t="shared" ca="1" si="365"/>
        <v>0</v>
      </c>
      <c r="BJ71" s="275" t="str">
        <f t="shared" ca="1" si="366"/>
        <v>Да</v>
      </c>
      <c r="BK71" s="116">
        <f t="shared" ca="1" si="367"/>
        <v>0.6</v>
      </c>
      <c r="BL71" s="117">
        <f t="shared" ca="1" si="367"/>
        <v>0.7</v>
      </c>
      <c r="BM71" s="117">
        <f t="shared" ca="1" si="367"/>
        <v>1</v>
      </c>
      <c r="BN71" s="117">
        <f t="shared" ca="1" si="367"/>
        <v>1.1000000000000001</v>
      </c>
      <c r="BO71" s="117">
        <f t="shared" ca="1" si="367"/>
        <v>1</v>
      </c>
      <c r="BP71" s="117">
        <f t="shared" ca="1" si="367"/>
        <v>1</v>
      </c>
      <c r="BQ71" s="117">
        <f t="shared" ca="1" si="367"/>
        <v>0.7</v>
      </c>
      <c r="BR71" s="117">
        <f t="shared" ca="1" si="367"/>
        <v>0.7</v>
      </c>
      <c r="BS71" s="117">
        <f t="shared" ca="1" si="367"/>
        <v>1.25</v>
      </c>
      <c r="BT71" s="117">
        <f t="shared" ca="1" si="367"/>
        <v>1.25</v>
      </c>
      <c r="BU71" s="117">
        <f t="shared" ca="1" si="367"/>
        <v>1.25</v>
      </c>
      <c r="BV71" s="278">
        <f t="shared" ca="1" si="367"/>
        <v>1.25</v>
      </c>
      <c r="BW71" s="280">
        <f t="shared" si="6"/>
        <v>5</v>
      </c>
      <c r="BX71" s="118">
        <f>IF($AN71="Ya",100%,100%+extraDelayZ)</f>
        <v>1</v>
      </c>
      <c r="BY71" s="263">
        <f t="shared" si="383"/>
        <v>1</v>
      </c>
      <c r="BZ71" s="264">
        <f t="shared" si="384"/>
        <v>1</v>
      </c>
      <c r="CA71" s="264">
        <f t="shared" si="385"/>
        <v>1</v>
      </c>
      <c r="CB71" s="264">
        <f t="shared" si="386"/>
        <v>1</v>
      </c>
      <c r="CC71" s="264">
        <f t="shared" si="387"/>
        <v>1</v>
      </c>
      <c r="CD71" s="264">
        <f t="shared" si="388"/>
        <v>1</v>
      </c>
      <c r="CE71" s="264">
        <f t="shared" si="389"/>
        <v>1</v>
      </c>
      <c r="CF71" s="264">
        <f t="shared" si="390"/>
        <v>1</v>
      </c>
      <c r="CG71" s="264">
        <f t="shared" si="391"/>
        <v>1</v>
      </c>
      <c r="CH71" s="264">
        <f t="shared" si="392"/>
        <v>1</v>
      </c>
      <c r="CI71" s="264">
        <f t="shared" si="393"/>
        <v>1</v>
      </c>
      <c r="CJ71" s="265">
        <f t="shared" si="394"/>
        <v>1</v>
      </c>
      <c r="CK71" s="269">
        <f t="array" ref="CK71">IF(ISERROR(SUM($K71:$V71*$BY71:$CJ71)/SUM($K71:$V71)),1,SUM($K71:$V71*$BY71:$CJ71)/SUM($K71:$V71))-1</f>
        <v>0</v>
      </c>
      <c r="CL71" s="234"/>
    </row>
    <row r="72" spans="1:90" s="4" customFormat="1" ht="12.75" hidden="1" outlineLevel="1" x14ac:dyDescent="0.2">
      <c r="A72" s="422"/>
      <c r="B72" s="404" t="str">
        <f t="shared" ca="1" si="348"/>
        <v>Пакет "Авто 1250К", 240х200</v>
      </c>
      <c r="C72" s="649" t="str">
        <f t="shared" ca="1" si="349"/>
        <v>Пакет</v>
      </c>
      <c r="D72" s="405">
        <f t="shared" ca="1" si="350"/>
        <v>550</v>
      </c>
      <c r="E72" s="405">
        <f t="shared" ca="1" si="351"/>
        <v>550</v>
      </c>
      <c r="F72" s="405">
        <f t="shared" ca="1" si="352"/>
        <v>550</v>
      </c>
      <c r="G72" s="406">
        <f t="shared" ca="1" si="353"/>
        <v>687500</v>
      </c>
      <c r="H72" s="406">
        <f t="shared" ca="1" si="354"/>
        <v>687500</v>
      </c>
      <c r="I72" s="406">
        <f t="shared" ca="1" si="380"/>
        <v>0</v>
      </c>
      <c r="J72" s="407">
        <f t="shared" ca="1" si="355"/>
        <v>0</v>
      </c>
      <c r="K72" s="423"/>
      <c r="L72" s="424"/>
      <c r="M72" s="424"/>
      <c r="N72" s="424"/>
      <c r="O72" s="424"/>
      <c r="P72" s="424"/>
      <c r="Q72" s="424"/>
      <c r="R72" s="424"/>
      <c r="S72" s="424"/>
      <c r="T72" s="424"/>
      <c r="U72" s="424"/>
      <c r="V72" s="425"/>
      <c r="W72" s="406">
        <f t="shared" ca="1" si="1"/>
        <v>0</v>
      </c>
      <c r="X72" s="406"/>
      <c r="Y72" s="411"/>
      <c r="Z72" s="412">
        <f t="shared" ref="Z72" si="395">CK72</f>
        <v>0</v>
      </c>
      <c r="AA72" s="620"/>
      <c r="AB72" s="620"/>
      <c r="AC72" s="620"/>
      <c r="AD72" s="620"/>
      <c r="AE72" s="620"/>
      <c r="AF72" s="620"/>
      <c r="AG72" s="620"/>
      <c r="AH72" s="620"/>
      <c r="AI72" s="620"/>
      <c r="AJ72" s="620"/>
      <c r="AK72" s="620"/>
      <c r="AL72" s="620"/>
      <c r="AM72" s="621"/>
      <c r="AN72" s="351" t="s">
        <v>266</v>
      </c>
      <c r="AO72" s="351" t="str">
        <f t="shared" si="2"/>
        <v>RBC.ru</v>
      </c>
      <c r="AP72" s="115">
        <f t="shared" si="3"/>
        <v>15</v>
      </c>
      <c r="AQ72" s="31">
        <f t="shared" ca="1" si="357"/>
        <v>0.25</v>
      </c>
      <c r="AR72" s="31" t="str">
        <f t="shared" ca="1" si="357"/>
        <v>-</v>
      </c>
      <c r="AS72" s="35">
        <v>0</v>
      </c>
      <c r="AT72" s="229">
        <v>0</v>
      </c>
      <c r="AU72" s="344">
        <f t="shared" ca="1" si="358"/>
        <v>550</v>
      </c>
      <c r="AV72" s="345">
        <f t="shared" ca="1" si="359"/>
        <v>550</v>
      </c>
      <c r="AW72" s="346">
        <f t="shared" ca="1" si="360"/>
        <v>550</v>
      </c>
      <c r="AX72" s="280"/>
      <c r="AY72" s="280"/>
      <c r="AZ72" s="347">
        <f t="shared" ca="1" si="361"/>
        <v>687500</v>
      </c>
      <c r="BA72" s="348">
        <f t="shared" ca="1" si="362"/>
        <v>687500</v>
      </c>
      <c r="BB72" s="347">
        <f t="shared" ca="1" si="363"/>
        <v>1250</v>
      </c>
      <c r="BC72" s="37" t="str">
        <f t="shared" ca="1" si="363"/>
        <v>Пакет</v>
      </c>
      <c r="BD72" s="229" t="str">
        <f t="shared" ca="1" si="364"/>
        <v>Пакет</v>
      </c>
      <c r="BE72" s="283">
        <f t="shared" ca="1" si="4"/>
        <v>0</v>
      </c>
      <c r="BF72" s="347">
        <f t="array" aca="1" ref="BF72" ca="1">SUM($K72:$V72*$BK72:$BV72)*$AZ72</f>
        <v>0</v>
      </c>
      <c r="BG72" s="347">
        <f t="array" aca="1" ref="BG72" ca="1">SUM($K72:$V72*$BY72:$CJ72*$BK72:$BV72)*$AZ72*$BX72</f>
        <v>0</v>
      </c>
      <c r="BH72" s="347">
        <f t="array" aca="1" ref="BH72" ca="1">SUM($K72:$V72*$BY72:$CJ72*$BK72:$BV72)*(1-$BE72)*$AZ72*$BX72</f>
        <v>0</v>
      </c>
      <c r="BI72" s="350">
        <f t="shared" ca="1" si="365"/>
        <v>0</v>
      </c>
      <c r="BJ72" s="275" t="str">
        <f t="shared" ca="1" si="366"/>
        <v>Да</v>
      </c>
      <c r="BK72" s="116">
        <f t="shared" ca="1" si="367"/>
        <v>0.6</v>
      </c>
      <c r="BL72" s="117">
        <f t="shared" ca="1" si="367"/>
        <v>0.7</v>
      </c>
      <c r="BM72" s="117">
        <f t="shared" ca="1" si="367"/>
        <v>1</v>
      </c>
      <c r="BN72" s="117">
        <f t="shared" ca="1" si="367"/>
        <v>1.1000000000000001</v>
      </c>
      <c r="BO72" s="117">
        <f t="shared" ca="1" si="367"/>
        <v>1</v>
      </c>
      <c r="BP72" s="117">
        <f t="shared" ca="1" si="367"/>
        <v>1</v>
      </c>
      <c r="BQ72" s="117">
        <f t="shared" ca="1" si="367"/>
        <v>0.7</v>
      </c>
      <c r="BR72" s="117">
        <f t="shared" ca="1" si="367"/>
        <v>0.7</v>
      </c>
      <c r="BS72" s="117">
        <f t="shared" ca="1" si="367"/>
        <v>1.25</v>
      </c>
      <c r="BT72" s="117">
        <f t="shared" ca="1" si="367"/>
        <v>1.25</v>
      </c>
      <c r="BU72" s="117">
        <f t="shared" ca="1" si="367"/>
        <v>1.25</v>
      </c>
      <c r="BV72" s="278">
        <f t="shared" ca="1" si="367"/>
        <v>1.25</v>
      </c>
      <c r="BW72" s="280">
        <f t="shared" si="6"/>
        <v>6</v>
      </c>
      <c r="BX72" s="118">
        <f>IF($AN72="Ya",100%,100%+extraDelayZ)</f>
        <v>1</v>
      </c>
      <c r="BY72" s="263">
        <f t="shared" ref="BY72" si="396">(1+AA72)</f>
        <v>1</v>
      </c>
      <c r="BZ72" s="264">
        <f t="shared" ref="BZ72" si="397">(1+AB72)</f>
        <v>1</v>
      </c>
      <c r="CA72" s="264">
        <f t="shared" ref="CA72" si="398">(1+AC72)</f>
        <v>1</v>
      </c>
      <c r="CB72" s="264">
        <f t="shared" ref="CB72" si="399">(1+AD72)</f>
        <v>1</v>
      </c>
      <c r="CC72" s="264">
        <f t="shared" ref="CC72" si="400">(1+AE72)</f>
        <v>1</v>
      </c>
      <c r="CD72" s="264">
        <f t="shared" ref="CD72" si="401">(1+AF72)</f>
        <v>1</v>
      </c>
      <c r="CE72" s="264">
        <f t="shared" ref="CE72" si="402">(1+AG72)</f>
        <v>1</v>
      </c>
      <c r="CF72" s="264">
        <f t="shared" ref="CF72" si="403">(1+AH72)</f>
        <v>1</v>
      </c>
      <c r="CG72" s="264">
        <f t="shared" ref="CG72" si="404">(1+AI72)</f>
        <v>1</v>
      </c>
      <c r="CH72" s="264">
        <f t="shared" ref="CH72" si="405">(1+AJ72)</f>
        <v>1</v>
      </c>
      <c r="CI72" s="264">
        <f t="shared" ref="CI72" si="406">(1+AK72)</f>
        <v>1</v>
      </c>
      <c r="CJ72" s="265">
        <f t="shared" ref="CJ72" si="407">(1+AL72)</f>
        <v>1</v>
      </c>
      <c r="CK72" s="269">
        <f t="array" ref="CK72">IF(ISERROR(SUM($K72:$V72*$BY72:$CJ72)/SUM($K72:$V72)),1,SUM($K72:$V72*$BY72:$CJ72)/SUM($K72:$V72))-1</f>
        <v>0</v>
      </c>
      <c r="CL72" s="234"/>
    </row>
    <row r="73" spans="1:90" s="4" customFormat="1" ht="12.75" hidden="1" outlineLevel="1" x14ac:dyDescent="0.2">
      <c r="A73" s="422"/>
      <c r="B73" s="404" t="str">
        <f t="shared" ca="1" si="348"/>
        <v>Пакет "Авто 2500К", 240х200</v>
      </c>
      <c r="C73" s="649" t="str">
        <f t="shared" ca="1" si="349"/>
        <v>Пакет</v>
      </c>
      <c r="D73" s="405">
        <f t="shared" ca="1" si="350"/>
        <v>500</v>
      </c>
      <c r="E73" s="405">
        <f t="shared" ca="1" si="351"/>
        <v>500</v>
      </c>
      <c r="F73" s="405">
        <f t="shared" ca="1" si="352"/>
        <v>500</v>
      </c>
      <c r="G73" s="406">
        <f t="shared" ca="1" si="353"/>
        <v>1250000</v>
      </c>
      <c r="H73" s="406">
        <f t="shared" ca="1" si="354"/>
        <v>1250000</v>
      </c>
      <c r="I73" s="406">
        <f t="shared" ca="1" si="380"/>
        <v>0</v>
      </c>
      <c r="J73" s="407">
        <f t="shared" ca="1" si="355"/>
        <v>0</v>
      </c>
      <c r="K73" s="423"/>
      <c r="L73" s="424"/>
      <c r="M73" s="424"/>
      <c r="N73" s="424"/>
      <c r="O73" s="424"/>
      <c r="P73" s="424"/>
      <c r="Q73" s="424"/>
      <c r="R73" s="424"/>
      <c r="S73" s="424"/>
      <c r="T73" s="424"/>
      <c r="U73" s="424"/>
      <c r="V73" s="425"/>
      <c r="W73" s="406">
        <f t="shared" ca="1" si="1"/>
        <v>0</v>
      </c>
      <c r="X73" s="406"/>
      <c r="Y73" s="411"/>
      <c r="Z73" s="412">
        <f t="shared" si="382"/>
        <v>0</v>
      </c>
      <c r="AA73" s="620"/>
      <c r="AB73" s="620"/>
      <c r="AC73" s="620"/>
      <c r="AD73" s="620"/>
      <c r="AE73" s="620"/>
      <c r="AF73" s="620"/>
      <c r="AG73" s="620"/>
      <c r="AH73" s="620"/>
      <c r="AI73" s="620"/>
      <c r="AJ73" s="620"/>
      <c r="AK73" s="620"/>
      <c r="AL73" s="620"/>
      <c r="AM73" s="621"/>
      <c r="AN73" s="351" t="s">
        <v>266</v>
      </c>
      <c r="AO73" s="351" t="str">
        <f t="shared" si="2"/>
        <v>RBC.ru</v>
      </c>
      <c r="AP73" s="115">
        <f t="shared" si="3"/>
        <v>15</v>
      </c>
      <c r="AQ73" s="31">
        <f t="shared" ca="1" si="357"/>
        <v>0.25</v>
      </c>
      <c r="AR73" s="31" t="str">
        <f t="shared" ca="1" si="357"/>
        <v>-</v>
      </c>
      <c r="AS73" s="35">
        <v>0</v>
      </c>
      <c r="AT73" s="229">
        <v>0</v>
      </c>
      <c r="AU73" s="344">
        <f t="shared" ca="1" si="358"/>
        <v>500</v>
      </c>
      <c r="AV73" s="345">
        <f t="shared" ca="1" si="359"/>
        <v>500</v>
      </c>
      <c r="AW73" s="346">
        <f t="shared" ca="1" si="360"/>
        <v>500</v>
      </c>
      <c r="AX73" s="280"/>
      <c r="AY73" s="280"/>
      <c r="AZ73" s="347">
        <f t="shared" ca="1" si="361"/>
        <v>1250000</v>
      </c>
      <c r="BA73" s="348">
        <f t="shared" ca="1" si="362"/>
        <v>1250000</v>
      </c>
      <c r="BB73" s="347">
        <f t="shared" ca="1" si="363"/>
        <v>2500</v>
      </c>
      <c r="BC73" s="37" t="str">
        <f t="shared" ca="1" si="363"/>
        <v>Пакет</v>
      </c>
      <c r="BD73" s="229" t="str">
        <f t="shared" ca="1" si="364"/>
        <v>Пакет</v>
      </c>
      <c r="BE73" s="283">
        <f t="shared" ca="1" si="4"/>
        <v>0</v>
      </c>
      <c r="BF73" s="347">
        <f t="array" aca="1" ref="BF73" ca="1">SUM($K73:$V73*$BK73:$BV73)*$AZ73</f>
        <v>0</v>
      </c>
      <c r="BG73" s="347">
        <f t="array" aca="1" ref="BG73" ca="1">SUM($K73:$V73*$BY73:$CJ73*$BK73:$BV73)*$AZ73*$BX73</f>
        <v>0</v>
      </c>
      <c r="BH73" s="347">
        <f t="array" aca="1" ref="BH73" ca="1">SUM($K73:$V73*$BY73:$CJ73*$BK73:$BV73)*(1-$BE73)*$AZ73*$BX73</f>
        <v>0</v>
      </c>
      <c r="BI73" s="350">
        <f t="shared" ca="1" si="365"/>
        <v>0</v>
      </c>
      <c r="BJ73" s="275" t="str">
        <f t="shared" ca="1" si="366"/>
        <v>Да</v>
      </c>
      <c r="BK73" s="116">
        <f t="shared" ca="1" si="367"/>
        <v>0.6</v>
      </c>
      <c r="BL73" s="117">
        <f t="shared" ca="1" si="367"/>
        <v>0.7</v>
      </c>
      <c r="BM73" s="117">
        <f t="shared" ca="1" si="367"/>
        <v>1</v>
      </c>
      <c r="BN73" s="117">
        <f t="shared" ca="1" si="367"/>
        <v>1.1000000000000001</v>
      </c>
      <c r="BO73" s="117">
        <f t="shared" ca="1" si="367"/>
        <v>1</v>
      </c>
      <c r="BP73" s="117">
        <f t="shared" ca="1" si="367"/>
        <v>1</v>
      </c>
      <c r="BQ73" s="117">
        <f t="shared" ca="1" si="367"/>
        <v>0.7</v>
      </c>
      <c r="BR73" s="117">
        <f t="shared" ca="1" si="367"/>
        <v>0.7</v>
      </c>
      <c r="BS73" s="117">
        <f t="shared" ca="1" si="367"/>
        <v>1.25</v>
      </c>
      <c r="BT73" s="117">
        <f t="shared" ca="1" si="367"/>
        <v>1.25</v>
      </c>
      <c r="BU73" s="117">
        <f t="shared" ca="1" si="367"/>
        <v>1.25</v>
      </c>
      <c r="BV73" s="278">
        <f t="shared" ca="1" si="367"/>
        <v>1.25</v>
      </c>
      <c r="BW73" s="280">
        <f t="shared" si="6"/>
        <v>7</v>
      </c>
      <c r="BX73" s="118">
        <f>IF($AN73="Ya",100%,100%+extraDelayZ)</f>
        <v>1</v>
      </c>
      <c r="BY73" s="263">
        <f t="shared" si="383"/>
        <v>1</v>
      </c>
      <c r="BZ73" s="264">
        <f t="shared" si="384"/>
        <v>1</v>
      </c>
      <c r="CA73" s="264">
        <f t="shared" si="385"/>
        <v>1</v>
      </c>
      <c r="CB73" s="264">
        <f t="shared" si="386"/>
        <v>1</v>
      </c>
      <c r="CC73" s="264">
        <f t="shared" si="387"/>
        <v>1</v>
      </c>
      <c r="CD73" s="264">
        <f t="shared" si="388"/>
        <v>1</v>
      </c>
      <c r="CE73" s="264">
        <f t="shared" si="389"/>
        <v>1</v>
      </c>
      <c r="CF73" s="264">
        <f t="shared" si="390"/>
        <v>1</v>
      </c>
      <c r="CG73" s="264">
        <f t="shared" si="391"/>
        <v>1</v>
      </c>
      <c r="CH73" s="264">
        <f t="shared" si="392"/>
        <v>1</v>
      </c>
      <c r="CI73" s="264">
        <f t="shared" si="393"/>
        <v>1</v>
      </c>
      <c r="CJ73" s="265">
        <f t="shared" si="394"/>
        <v>1</v>
      </c>
      <c r="CK73" s="269">
        <f t="array" ref="CK73">IF(ISERROR(SUM($K73:$V73*$BY73:$CJ73)/SUM($K73:$V73)),1,SUM($K73:$V73*$BY73:$CJ73)/SUM($K73:$V73))-1</f>
        <v>0</v>
      </c>
      <c r="CL73" s="234"/>
    </row>
    <row r="74" spans="1:90" s="4" customFormat="1" ht="12.75" hidden="1" outlineLevel="1" x14ac:dyDescent="0.2">
      <c r="A74" s="422"/>
      <c r="B74" s="404" t="str">
        <f t="shared" ca="1" si="348"/>
        <v>Пакет "Технологии 600К", 240х200</v>
      </c>
      <c r="C74" s="649" t="str">
        <f t="shared" ca="1" si="349"/>
        <v>Пакет</v>
      </c>
      <c r="D74" s="405">
        <f t="shared" ca="1" si="350"/>
        <v>550</v>
      </c>
      <c r="E74" s="405">
        <f t="shared" ca="1" si="351"/>
        <v>550</v>
      </c>
      <c r="F74" s="405">
        <f t="shared" ca="1" si="352"/>
        <v>550</v>
      </c>
      <c r="G74" s="406">
        <f t="shared" ca="1" si="353"/>
        <v>330000</v>
      </c>
      <c r="H74" s="406">
        <f t="shared" ca="1" si="354"/>
        <v>330000</v>
      </c>
      <c r="I74" s="406">
        <f t="shared" ca="1" si="380"/>
        <v>0</v>
      </c>
      <c r="J74" s="407">
        <f t="shared" ca="1" si="355"/>
        <v>0</v>
      </c>
      <c r="K74" s="423"/>
      <c r="L74" s="424"/>
      <c r="M74" s="424"/>
      <c r="N74" s="424"/>
      <c r="O74" s="424"/>
      <c r="P74" s="424"/>
      <c r="Q74" s="424"/>
      <c r="R74" s="424"/>
      <c r="S74" s="424"/>
      <c r="T74" s="424"/>
      <c r="U74" s="424"/>
      <c r="V74" s="425"/>
      <c r="W74" s="406">
        <f t="shared" ca="1" si="1"/>
        <v>0</v>
      </c>
      <c r="X74" s="406"/>
      <c r="Y74" s="411"/>
      <c r="Z74" s="412">
        <f t="shared" si="382"/>
        <v>0</v>
      </c>
      <c r="AA74" s="620"/>
      <c r="AB74" s="620"/>
      <c r="AC74" s="620"/>
      <c r="AD74" s="620"/>
      <c r="AE74" s="620"/>
      <c r="AF74" s="620"/>
      <c r="AG74" s="620"/>
      <c r="AH74" s="620"/>
      <c r="AI74" s="620"/>
      <c r="AJ74" s="620"/>
      <c r="AK74" s="620"/>
      <c r="AL74" s="620"/>
      <c r="AM74" s="621"/>
      <c r="AN74" s="351" t="s">
        <v>266</v>
      </c>
      <c r="AO74" s="351" t="str">
        <f t="shared" si="2"/>
        <v>RBC.ru</v>
      </c>
      <c r="AP74" s="115">
        <f t="shared" si="3"/>
        <v>15</v>
      </c>
      <c r="AQ74" s="31">
        <f t="shared" ca="1" si="357"/>
        <v>0.25</v>
      </c>
      <c r="AR74" s="31" t="str">
        <f t="shared" ca="1" si="357"/>
        <v>-</v>
      </c>
      <c r="AS74" s="35">
        <v>0</v>
      </c>
      <c r="AT74" s="229">
        <v>0</v>
      </c>
      <c r="AU74" s="344">
        <f t="shared" ca="1" si="358"/>
        <v>550</v>
      </c>
      <c r="AV74" s="345">
        <f t="shared" ca="1" si="359"/>
        <v>550</v>
      </c>
      <c r="AW74" s="346">
        <f t="shared" ca="1" si="360"/>
        <v>550</v>
      </c>
      <c r="AX74" s="280"/>
      <c r="AY74" s="280"/>
      <c r="AZ74" s="347">
        <f t="shared" ca="1" si="361"/>
        <v>330000</v>
      </c>
      <c r="BA74" s="348">
        <f t="shared" ca="1" si="362"/>
        <v>330000</v>
      </c>
      <c r="BB74" s="347">
        <f t="shared" ca="1" si="363"/>
        <v>600</v>
      </c>
      <c r="BC74" s="37" t="str">
        <f t="shared" ca="1" si="363"/>
        <v>Пакет</v>
      </c>
      <c r="BD74" s="229" t="str">
        <f t="shared" ca="1" si="364"/>
        <v>Пакет</v>
      </c>
      <c r="BE74" s="283">
        <f t="shared" ca="1" si="4"/>
        <v>0</v>
      </c>
      <c r="BF74" s="347">
        <f t="array" aca="1" ref="BF74" ca="1">SUM($K74:$V74*$BK74:$BV74)*$AZ74</f>
        <v>0</v>
      </c>
      <c r="BG74" s="347">
        <f t="array" aca="1" ref="BG74" ca="1">SUM($K74:$V74*$BY74:$CJ74*$BK74:$BV74)*$AZ74*$BX74</f>
        <v>0</v>
      </c>
      <c r="BH74" s="347">
        <f t="array" aca="1" ref="BH74" ca="1">SUM($K74:$V74*$BY74:$CJ74*$BK74:$BV74)*(1-$BE74)*$AZ74*$BX74</f>
        <v>0</v>
      </c>
      <c r="BI74" s="350">
        <f t="shared" ca="1" si="365"/>
        <v>0</v>
      </c>
      <c r="BJ74" s="275" t="str">
        <f t="shared" ca="1" si="366"/>
        <v>Да</v>
      </c>
      <c r="BK74" s="116">
        <f t="shared" ca="1" si="367"/>
        <v>0.6</v>
      </c>
      <c r="BL74" s="117">
        <f t="shared" ca="1" si="367"/>
        <v>0.7</v>
      </c>
      <c r="BM74" s="117">
        <f t="shared" ca="1" si="367"/>
        <v>1</v>
      </c>
      <c r="BN74" s="117">
        <f t="shared" ca="1" si="367"/>
        <v>1.1000000000000001</v>
      </c>
      <c r="BO74" s="117">
        <f t="shared" ca="1" si="367"/>
        <v>1</v>
      </c>
      <c r="BP74" s="117">
        <f t="shared" ca="1" si="367"/>
        <v>1</v>
      </c>
      <c r="BQ74" s="117">
        <f t="shared" ca="1" si="367"/>
        <v>0.7</v>
      </c>
      <c r="BR74" s="117">
        <f t="shared" ca="1" si="367"/>
        <v>0.7</v>
      </c>
      <c r="BS74" s="117">
        <f t="shared" ca="1" si="367"/>
        <v>1.25</v>
      </c>
      <c r="BT74" s="117">
        <f t="shared" ca="1" si="367"/>
        <v>1.25</v>
      </c>
      <c r="BU74" s="117">
        <f t="shared" ca="1" si="367"/>
        <v>1.25</v>
      </c>
      <c r="BV74" s="278">
        <f t="shared" ca="1" si="367"/>
        <v>1.25</v>
      </c>
      <c r="BW74" s="280">
        <f t="shared" si="6"/>
        <v>8</v>
      </c>
      <c r="BX74" s="118">
        <f>IF($AN74="Ya",100%,100%+extraDelayZ)</f>
        <v>1</v>
      </c>
      <c r="BY74" s="263">
        <f t="shared" si="383"/>
        <v>1</v>
      </c>
      <c r="BZ74" s="264">
        <f t="shared" si="384"/>
        <v>1</v>
      </c>
      <c r="CA74" s="264">
        <f t="shared" si="385"/>
        <v>1</v>
      </c>
      <c r="CB74" s="264">
        <f t="shared" si="386"/>
        <v>1</v>
      </c>
      <c r="CC74" s="264">
        <f t="shared" si="387"/>
        <v>1</v>
      </c>
      <c r="CD74" s="264">
        <f t="shared" si="388"/>
        <v>1</v>
      </c>
      <c r="CE74" s="264">
        <f t="shared" si="389"/>
        <v>1</v>
      </c>
      <c r="CF74" s="264">
        <f t="shared" si="390"/>
        <v>1</v>
      </c>
      <c r="CG74" s="264">
        <f t="shared" si="391"/>
        <v>1</v>
      </c>
      <c r="CH74" s="264">
        <f t="shared" si="392"/>
        <v>1</v>
      </c>
      <c r="CI74" s="264">
        <f t="shared" si="393"/>
        <v>1</v>
      </c>
      <c r="CJ74" s="265">
        <f t="shared" si="394"/>
        <v>1</v>
      </c>
      <c r="CK74" s="269">
        <f t="array" ref="CK74">IF(ISERROR(SUM($K74:$V74*$BY74:$CJ74)/SUM($K74:$V74)),1,SUM($K74:$V74*$BY74:$CJ74)/SUM($K74:$V74))-1</f>
        <v>0</v>
      </c>
      <c r="CL74" s="234"/>
    </row>
    <row r="75" spans="1:90" s="4" customFormat="1" ht="12.75" hidden="1" outlineLevel="1" x14ac:dyDescent="0.2">
      <c r="A75" s="422"/>
      <c r="B75" s="404" t="str">
        <f t="shared" ca="1" si="348"/>
        <v>Пакет "Технологии 1000К", 240х200</v>
      </c>
      <c r="C75" s="649" t="str">
        <f t="shared" ca="1" si="349"/>
        <v>Пакет</v>
      </c>
      <c r="D75" s="405">
        <f t="shared" ca="1" si="350"/>
        <v>500</v>
      </c>
      <c r="E75" s="405">
        <f t="shared" ca="1" si="351"/>
        <v>500</v>
      </c>
      <c r="F75" s="405">
        <f t="shared" ca="1" si="352"/>
        <v>500</v>
      </c>
      <c r="G75" s="406">
        <f t="shared" ca="1" si="353"/>
        <v>500000</v>
      </c>
      <c r="H75" s="406">
        <f t="shared" ca="1" si="354"/>
        <v>500000</v>
      </c>
      <c r="I75" s="406">
        <f t="shared" ca="1" si="380"/>
        <v>0</v>
      </c>
      <c r="J75" s="407">
        <f t="shared" ca="1" si="355"/>
        <v>0</v>
      </c>
      <c r="K75" s="423"/>
      <c r="L75" s="424"/>
      <c r="M75" s="424"/>
      <c r="N75" s="424"/>
      <c r="O75" s="424"/>
      <c r="P75" s="424"/>
      <c r="Q75" s="424"/>
      <c r="R75" s="424"/>
      <c r="S75" s="424"/>
      <c r="T75" s="424"/>
      <c r="U75" s="424"/>
      <c r="V75" s="425"/>
      <c r="W75" s="406">
        <f t="shared" ca="1" si="1"/>
        <v>0</v>
      </c>
      <c r="X75" s="406"/>
      <c r="Y75" s="411"/>
      <c r="Z75" s="412">
        <f t="shared" ref="Z75" si="408">CK75</f>
        <v>0</v>
      </c>
      <c r="AA75" s="620"/>
      <c r="AB75" s="620"/>
      <c r="AC75" s="620"/>
      <c r="AD75" s="620"/>
      <c r="AE75" s="620"/>
      <c r="AF75" s="620"/>
      <c r="AG75" s="620"/>
      <c r="AH75" s="620"/>
      <c r="AI75" s="620"/>
      <c r="AJ75" s="620"/>
      <c r="AK75" s="620"/>
      <c r="AL75" s="620"/>
      <c r="AM75" s="621"/>
      <c r="AN75" s="351" t="s">
        <v>266</v>
      </c>
      <c r="AO75" s="351" t="str">
        <f t="shared" si="2"/>
        <v>RBC.ru</v>
      </c>
      <c r="AP75" s="115">
        <f t="shared" ref="AP75:AP138" si="409">COUNTIF($AN$10:$AN$353,$AN75)</f>
        <v>15</v>
      </c>
      <c r="AQ75" s="31">
        <f t="shared" ca="1" si="357"/>
        <v>0.25</v>
      </c>
      <c r="AR75" s="31" t="str">
        <f t="shared" ca="1" si="357"/>
        <v>-</v>
      </c>
      <c r="AS75" s="35">
        <v>0</v>
      </c>
      <c r="AT75" s="229">
        <v>0</v>
      </c>
      <c r="AU75" s="344">
        <f t="shared" ca="1" si="358"/>
        <v>500</v>
      </c>
      <c r="AV75" s="345">
        <f t="shared" ca="1" si="359"/>
        <v>500</v>
      </c>
      <c r="AW75" s="346">
        <f t="shared" ca="1" si="360"/>
        <v>500</v>
      </c>
      <c r="AX75" s="280"/>
      <c r="AY75" s="280"/>
      <c r="AZ75" s="347">
        <f t="shared" ca="1" si="361"/>
        <v>500000</v>
      </c>
      <c r="BA75" s="348">
        <f t="shared" ca="1" si="362"/>
        <v>500000</v>
      </c>
      <c r="BB75" s="347">
        <f t="shared" ca="1" si="363"/>
        <v>1000</v>
      </c>
      <c r="BC75" s="37" t="str">
        <f t="shared" ca="1" si="363"/>
        <v>Пакет</v>
      </c>
      <c r="BD75" s="229" t="str">
        <f t="shared" ca="1" si="364"/>
        <v>Пакет</v>
      </c>
      <c r="BE75" s="283">
        <f t="shared" ca="1" si="4"/>
        <v>0</v>
      </c>
      <c r="BF75" s="347">
        <f t="array" aca="1" ref="BF75" ca="1">SUM($K75:$V75*$BK75:$BV75)*$AZ75</f>
        <v>0</v>
      </c>
      <c r="BG75" s="347">
        <f t="array" aca="1" ref="BG75" ca="1">SUM($K75:$V75*$BY75:$CJ75*$BK75:$BV75)*$AZ75*$BX75</f>
        <v>0</v>
      </c>
      <c r="BH75" s="347">
        <f t="array" aca="1" ref="BH75" ca="1">SUM($K75:$V75*$BY75:$CJ75*$BK75:$BV75)*(1-$BE75)*$AZ75*$BX75</f>
        <v>0</v>
      </c>
      <c r="BI75" s="350">
        <f t="shared" ca="1" si="365"/>
        <v>0</v>
      </c>
      <c r="BJ75" s="275" t="str">
        <f t="shared" ca="1" si="366"/>
        <v>Да</v>
      </c>
      <c r="BK75" s="116">
        <f t="shared" ca="1" si="367"/>
        <v>0.6</v>
      </c>
      <c r="BL75" s="117">
        <f t="shared" ca="1" si="367"/>
        <v>0.7</v>
      </c>
      <c r="BM75" s="117">
        <f t="shared" ca="1" si="367"/>
        <v>1</v>
      </c>
      <c r="BN75" s="117">
        <f t="shared" ca="1" si="367"/>
        <v>1.1000000000000001</v>
      </c>
      <c r="BO75" s="117">
        <f t="shared" ca="1" si="367"/>
        <v>1</v>
      </c>
      <c r="BP75" s="117">
        <f t="shared" ca="1" si="367"/>
        <v>1</v>
      </c>
      <c r="BQ75" s="117">
        <f t="shared" ca="1" si="367"/>
        <v>0.7</v>
      </c>
      <c r="BR75" s="117">
        <f t="shared" ca="1" si="367"/>
        <v>0.7</v>
      </c>
      <c r="BS75" s="117">
        <f t="shared" ca="1" si="367"/>
        <v>1.25</v>
      </c>
      <c r="BT75" s="117">
        <f t="shared" ca="1" si="367"/>
        <v>1.25</v>
      </c>
      <c r="BU75" s="117">
        <f t="shared" ca="1" si="367"/>
        <v>1.25</v>
      </c>
      <c r="BV75" s="278">
        <f t="shared" ca="1" si="367"/>
        <v>1.25</v>
      </c>
      <c r="BW75" s="280">
        <f t="shared" si="6"/>
        <v>9</v>
      </c>
      <c r="BX75" s="118">
        <f>IF($AN75="Ya",100%,100%+extraDelayZ)</f>
        <v>1</v>
      </c>
      <c r="BY75" s="263">
        <f t="shared" ref="BY75" si="410">(1+AA75)</f>
        <v>1</v>
      </c>
      <c r="BZ75" s="264">
        <f t="shared" ref="BZ75" si="411">(1+AB75)</f>
        <v>1</v>
      </c>
      <c r="CA75" s="264">
        <f t="shared" ref="CA75" si="412">(1+AC75)</f>
        <v>1</v>
      </c>
      <c r="CB75" s="264">
        <f t="shared" ref="CB75" si="413">(1+AD75)</f>
        <v>1</v>
      </c>
      <c r="CC75" s="264">
        <f t="shared" ref="CC75" si="414">(1+AE75)</f>
        <v>1</v>
      </c>
      <c r="CD75" s="264">
        <f t="shared" ref="CD75" si="415">(1+AF75)</f>
        <v>1</v>
      </c>
      <c r="CE75" s="264">
        <f t="shared" ref="CE75" si="416">(1+AG75)</f>
        <v>1</v>
      </c>
      <c r="CF75" s="264">
        <f t="shared" ref="CF75" si="417">(1+AH75)</f>
        <v>1</v>
      </c>
      <c r="CG75" s="264">
        <f t="shared" ref="CG75" si="418">(1+AI75)</f>
        <v>1</v>
      </c>
      <c r="CH75" s="264">
        <f t="shared" ref="CH75" si="419">(1+AJ75)</f>
        <v>1</v>
      </c>
      <c r="CI75" s="264">
        <f t="shared" ref="CI75" si="420">(1+AK75)</f>
        <v>1</v>
      </c>
      <c r="CJ75" s="265">
        <f t="shared" ref="CJ75" si="421">(1+AL75)</f>
        <v>1</v>
      </c>
      <c r="CK75" s="269">
        <f t="array" ref="CK75">IF(ISERROR(SUM($K75:$V75*$BY75:$CJ75)/SUM($K75:$V75)),1,SUM($K75:$V75*$BY75:$CJ75)/SUM($K75:$V75))-1</f>
        <v>0</v>
      </c>
      <c r="CL75" s="234"/>
    </row>
    <row r="76" spans="1:90" s="4" customFormat="1" ht="12.75" hidden="1" outlineLevel="1" x14ac:dyDescent="0.2">
      <c r="A76" s="422"/>
      <c r="B76" s="404" t="str">
        <f t="shared" ca="1" si="348"/>
        <v>Пакет "Спорт 1250К", 240х200</v>
      </c>
      <c r="C76" s="649" t="str">
        <f t="shared" ca="1" si="349"/>
        <v>Пакет</v>
      </c>
      <c r="D76" s="405">
        <f t="shared" ca="1" si="350"/>
        <v>450</v>
      </c>
      <c r="E76" s="405">
        <f t="shared" ca="1" si="351"/>
        <v>450</v>
      </c>
      <c r="F76" s="405">
        <f t="shared" ca="1" si="352"/>
        <v>450</v>
      </c>
      <c r="G76" s="406">
        <f t="shared" ca="1" si="353"/>
        <v>562500</v>
      </c>
      <c r="H76" s="406">
        <f t="shared" ca="1" si="354"/>
        <v>562500</v>
      </c>
      <c r="I76" s="406">
        <f t="shared" ca="1" si="380"/>
        <v>0</v>
      </c>
      <c r="J76" s="407">
        <f t="shared" ca="1" si="355"/>
        <v>0</v>
      </c>
      <c r="K76" s="423"/>
      <c r="L76" s="424"/>
      <c r="M76" s="424"/>
      <c r="N76" s="424"/>
      <c r="O76" s="424"/>
      <c r="P76" s="424"/>
      <c r="Q76" s="424"/>
      <c r="R76" s="424"/>
      <c r="S76" s="424"/>
      <c r="T76" s="424"/>
      <c r="U76" s="424"/>
      <c r="V76" s="425"/>
      <c r="W76" s="406">
        <f t="shared" ca="1" si="1"/>
        <v>0</v>
      </c>
      <c r="X76" s="406"/>
      <c r="Y76" s="411"/>
      <c r="Z76" s="412">
        <f t="shared" si="382"/>
        <v>0</v>
      </c>
      <c r="AA76" s="620"/>
      <c r="AB76" s="620"/>
      <c r="AC76" s="620"/>
      <c r="AD76" s="620"/>
      <c r="AE76" s="620"/>
      <c r="AF76" s="620"/>
      <c r="AG76" s="620"/>
      <c r="AH76" s="620"/>
      <c r="AI76" s="620"/>
      <c r="AJ76" s="620"/>
      <c r="AK76" s="620"/>
      <c r="AL76" s="620"/>
      <c r="AM76" s="621"/>
      <c r="AN76" s="351" t="s">
        <v>266</v>
      </c>
      <c r="AO76" s="351" t="str">
        <f t="shared" si="2"/>
        <v>RBC.ru</v>
      </c>
      <c r="AP76" s="115">
        <f t="shared" si="409"/>
        <v>15</v>
      </c>
      <c r="AQ76" s="31">
        <f t="shared" ca="1" si="357"/>
        <v>0.25</v>
      </c>
      <c r="AR76" s="31" t="str">
        <f t="shared" ca="1" si="357"/>
        <v>-</v>
      </c>
      <c r="AS76" s="35">
        <v>0</v>
      </c>
      <c r="AT76" s="229">
        <v>0</v>
      </c>
      <c r="AU76" s="344">
        <f t="shared" ca="1" si="358"/>
        <v>450</v>
      </c>
      <c r="AV76" s="345">
        <f t="shared" ca="1" si="359"/>
        <v>450</v>
      </c>
      <c r="AW76" s="346">
        <f t="shared" ca="1" si="360"/>
        <v>450</v>
      </c>
      <c r="AX76" s="280"/>
      <c r="AY76" s="280"/>
      <c r="AZ76" s="347">
        <f t="shared" ca="1" si="361"/>
        <v>562500</v>
      </c>
      <c r="BA76" s="348">
        <f t="shared" ca="1" si="362"/>
        <v>562500</v>
      </c>
      <c r="BB76" s="347">
        <f t="shared" ca="1" si="363"/>
        <v>1250</v>
      </c>
      <c r="BC76" s="37" t="str">
        <f t="shared" ca="1" si="363"/>
        <v>Пакет</v>
      </c>
      <c r="BD76" s="229" t="str">
        <f t="shared" ca="1" si="364"/>
        <v>Пакет</v>
      </c>
      <c r="BE76" s="283">
        <f t="shared" ca="1" si="4"/>
        <v>0</v>
      </c>
      <c r="BF76" s="347">
        <f t="array" aca="1" ref="BF76" ca="1">SUM($K76:$V76*$BK76:$BV76)*$AZ76</f>
        <v>0</v>
      </c>
      <c r="BG76" s="347">
        <f t="array" aca="1" ref="BG76" ca="1">SUM($K76:$V76*$BY76:$CJ76*$BK76:$BV76)*$AZ76*$BX76</f>
        <v>0</v>
      </c>
      <c r="BH76" s="347">
        <f t="array" aca="1" ref="BH76" ca="1">SUM($K76:$V76*$BY76:$CJ76*$BK76:$BV76)*(1-$BE76)*$AZ76*$BX76</f>
        <v>0</v>
      </c>
      <c r="BI76" s="350">
        <f t="shared" ca="1" si="365"/>
        <v>0</v>
      </c>
      <c r="BJ76" s="275" t="str">
        <f t="shared" ca="1" si="366"/>
        <v>Да</v>
      </c>
      <c r="BK76" s="116">
        <f t="shared" ca="1" si="367"/>
        <v>0.6</v>
      </c>
      <c r="BL76" s="117">
        <f t="shared" ca="1" si="367"/>
        <v>0.7</v>
      </c>
      <c r="BM76" s="117">
        <f t="shared" ca="1" si="367"/>
        <v>1</v>
      </c>
      <c r="BN76" s="117">
        <f t="shared" ca="1" si="367"/>
        <v>1.1000000000000001</v>
      </c>
      <c r="BO76" s="117">
        <f t="shared" ca="1" si="367"/>
        <v>1</v>
      </c>
      <c r="BP76" s="117">
        <f t="shared" ca="1" si="367"/>
        <v>1</v>
      </c>
      <c r="BQ76" s="117">
        <f t="shared" ca="1" si="367"/>
        <v>0.7</v>
      </c>
      <c r="BR76" s="117">
        <f t="shared" ca="1" si="367"/>
        <v>0.7</v>
      </c>
      <c r="BS76" s="117">
        <f t="shared" ca="1" si="367"/>
        <v>1.25</v>
      </c>
      <c r="BT76" s="117">
        <f t="shared" ca="1" si="367"/>
        <v>1.25</v>
      </c>
      <c r="BU76" s="117">
        <f t="shared" ca="1" si="367"/>
        <v>1.25</v>
      </c>
      <c r="BV76" s="278">
        <f t="shared" ca="1" si="367"/>
        <v>1.25</v>
      </c>
      <c r="BW76" s="280">
        <f t="shared" si="6"/>
        <v>10</v>
      </c>
      <c r="BX76" s="118">
        <f>IF($AN76="Ya",100%,100%+extraDelayZ)</f>
        <v>1</v>
      </c>
      <c r="BY76" s="263">
        <f t="shared" si="383"/>
        <v>1</v>
      </c>
      <c r="BZ76" s="264">
        <f t="shared" si="384"/>
        <v>1</v>
      </c>
      <c r="CA76" s="264">
        <f t="shared" si="385"/>
        <v>1</v>
      </c>
      <c r="CB76" s="264">
        <f t="shared" si="386"/>
        <v>1</v>
      </c>
      <c r="CC76" s="264">
        <f t="shared" si="387"/>
        <v>1</v>
      </c>
      <c r="CD76" s="264">
        <f t="shared" si="388"/>
        <v>1</v>
      </c>
      <c r="CE76" s="264">
        <f t="shared" si="389"/>
        <v>1</v>
      </c>
      <c r="CF76" s="264">
        <f t="shared" si="390"/>
        <v>1</v>
      </c>
      <c r="CG76" s="264">
        <f t="shared" si="391"/>
        <v>1</v>
      </c>
      <c r="CH76" s="264">
        <f t="shared" si="392"/>
        <v>1</v>
      </c>
      <c r="CI76" s="264">
        <f t="shared" si="393"/>
        <v>1</v>
      </c>
      <c r="CJ76" s="265">
        <f t="shared" si="394"/>
        <v>1</v>
      </c>
      <c r="CK76" s="269">
        <f t="array" ref="CK76">IF(ISERROR(SUM($K76:$V76*$BY76:$CJ76)/SUM($K76:$V76)),1,SUM($K76:$V76*$BY76:$CJ76)/SUM($K76:$V76))-1</f>
        <v>0</v>
      </c>
      <c r="CL76" s="234"/>
    </row>
    <row r="77" spans="1:90" s="4" customFormat="1" ht="12.75" hidden="1" outlineLevel="1" x14ac:dyDescent="0.2">
      <c r="A77" s="422"/>
      <c r="B77" s="404" t="str">
        <f t="shared" ca="1" si="348"/>
        <v>Пакет "Спорт 2500К", 240х200</v>
      </c>
      <c r="C77" s="649" t="str">
        <f t="shared" ca="1" si="349"/>
        <v>Пакет</v>
      </c>
      <c r="D77" s="405">
        <f t="shared" ca="1" si="350"/>
        <v>400</v>
      </c>
      <c r="E77" s="405">
        <f t="shared" ca="1" si="351"/>
        <v>400</v>
      </c>
      <c r="F77" s="405">
        <f t="shared" ca="1" si="352"/>
        <v>400</v>
      </c>
      <c r="G77" s="406">
        <f t="shared" ca="1" si="353"/>
        <v>1000000</v>
      </c>
      <c r="H77" s="406">
        <f t="shared" ca="1" si="354"/>
        <v>1000000</v>
      </c>
      <c r="I77" s="406">
        <f t="shared" ca="1" si="380"/>
        <v>0</v>
      </c>
      <c r="J77" s="407">
        <f t="shared" ca="1" si="355"/>
        <v>0</v>
      </c>
      <c r="K77" s="423"/>
      <c r="L77" s="424"/>
      <c r="M77" s="424"/>
      <c r="N77" s="424"/>
      <c r="O77" s="424"/>
      <c r="P77" s="424"/>
      <c r="Q77" s="424"/>
      <c r="R77" s="424"/>
      <c r="S77" s="424"/>
      <c r="T77" s="424"/>
      <c r="U77" s="424"/>
      <c r="V77" s="425"/>
      <c r="W77" s="406">
        <f t="shared" ca="1" si="1"/>
        <v>0</v>
      </c>
      <c r="X77" s="406"/>
      <c r="Y77" s="411"/>
      <c r="Z77" s="412">
        <f t="shared" ref="Z77" si="422">CK77</f>
        <v>0</v>
      </c>
      <c r="AA77" s="620"/>
      <c r="AB77" s="620"/>
      <c r="AC77" s="620"/>
      <c r="AD77" s="620"/>
      <c r="AE77" s="620"/>
      <c r="AF77" s="620"/>
      <c r="AG77" s="620"/>
      <c r="AH77" s="620"/>
      <c r="AI77" s="620"/>
      <c r="AJ77" s="620"/>
      <c r="AK77" s="620"/>
      <c r="AL77" s="620"/>
      <c r="AM77" s="621"/>
      <c r="AN77" s="351" t="s">
        <v>266</v>
      </c>
      <c r="AO77" s="351" t="str">
        <f t="shared" si="2"/>
        <v>RBC.ru</v>
      </c>
      <c r="AP77" s="115">
        <f t="shared" si="409"/>
        <v>15</v>
      </c>
      <c r="AQ77" s="31">
        <f t="shared" ca="1" si="357"/>
        <v>0.25</v>
      </c>
      <c r="AR77" s="31" t="str">
        <f t="shared" ca="1" si="357"/>
        <v>-</v>
      </c>
      <c r="AS77" s="35">
        <v>0</v>
      </c>
      <c r="AT77" s="229">
        <v>0</v>
      </c>
      <c r="AU77" s="344">
        <f t="shared" ca="1" si="358"/>
        <v>400</v>
      </c>
      <c r="AV77" s="345">
        <f t="shared" ca="1" si="359"/>
        <v>400</v>
      </c>
      <c r="AW77" s="346">
        <f t="shared" ca="1" si="360"/>
        <v>400</v>
      </c>
      <c r="AX77" s="280"/>
      <c r="AY77" s="280"/>
      <c r="AZ77" s="347">
        <f t="shared" ca="1" si="361"/>
        <v>1000000</v>
      </c>
      <c r="BA77" s="348">
        <f t="shared" ca="1" si="362"/>
        <v>1000000</v>
      </c>
      <c r="BB77" s="347">
        <f t="shared" ca="1" si="363"/>
        <v>2500</v>
      </c>
      <c r="BC77" s="37" t="str">
        <f t="shared" ca="1" si="363"/>
        <v>Пакет</v>
      </c>
      <c r="BD77" s="229" t="str">
        <f t="shared" ca="1" si="364"/>
        <v>Пакет</v>
      </c>
      <c r="BE77" s="283">
        <f t="shared" ca="1" si="4"/>
        <v>0</v>
      </c>
      <c r="BF77" s="347">
        <f t="array" aca="1" ref="BF77" ca="1">SUM($K77:$V77*$BK77:$BV77)*$AZ77</f>
        <v>0</v>
      </c>
      <c r="BG77" s="347">
        <f t="array" aca="1" ref="BG77" ca="1">SUM($K77:$V77*$BY77:$CJ77*$BK77:$BV77)*$AZ77*$BX77</f>
        <v>0</v>
      </c>
      <c r="BH77" s="347">
        <f t="array" aca="1" ref="BH77" ca="1">SUM($K77:$V77*$BY77:$CJ77*$BK77:$BV77)*(1-$BE77)*$AZ77*$BX77</f>
        <v>0</v>
      </c>
      <c r="BI77" s="350">
        <f t="shared" ca="1" si="365"/>
        <v>0</v>
      </c>
      <c r="BJ77" s="275" t="str">
        <f t="shared" ca="1" si="366"/>
        <v>Да</v>
      </c>
      <c r="BK77" s="116">
        <f t="shared" ca="1" si="367"/>
        <v>0.6</v>
      </c>
      <c r="BL77" s="117">
        <f t="shared" ca="1" si="367"/>
        <v>0.7</v>
      </c>
      <c r="BM77" s="117">
        <f t="shared" ca="1" si="367"/>
        <v>1</v>
      </c>
      <c r="BN77" s="117">
        <f t="shared" ca="1" si="367"/>
        <v>1.1000000000000001</v>
      </c>
      <c r="BO77" s="117">
        <f t="shared" ca="1" si="367"/>
        <v>1</v>
      </c>
      <c r="BP77" s="117">
        <f t="shared" ca="1" si="367"/>
        <v>1</v>
      </c>
      <c r="BQ77" s="117">
        <f t="shared" ca="1" si="367"/>
        <v>0.7</v>
      </c>
      <c r="BR77" s="117">
        <f t="shared" ca="1" si="367"/>
        <v>0.7</v>
      </c>
      <c r="BS77" s="117">
        <f t="shared" ca="1" si="367"/>
        <v>1.25</v>
      </c>
      <c r="BT77" s="117">
        <f t="shared" ca="1" si="367"/>
        <v>1.25</v>
      </c>
      <c r="BU77" s="117">
        <f t="shared" ca="1" si="367"/>
        <v>1.25</v>
      </c>
      <c r="BV77" s="278">
        <f t="shared" ca="1" si="367"/>
        <v>1.25</v>
      </c>
      <c r="BW77" s="280">
        <f t="shared" si="6"/>
        <v>11</v>
      </c>
      <c r="BX77" s="118">
        <f>IF($AN77="Ya",100%,100%+extraDelayZ)</f>
        <v>1</v>
      </c>
      <c r="BY77" s="263">
        <f t="shared" ref="BY77" si="423">(1+AA77)</f>
        <v>1</v>
      </c>
      <c r="BZ77" s="264">
        <f t="shared" ref="BZ77" si="424">(1+AB77)</f>
        <v>1</v>
      </c>
      <c r="CA77" s="264">
        <f t="shared" ref="CA77" si="425">(1+AC77)</f>
        <v>1</v>
      </c>
      <c r="CB77" s="264">
        <f t="shared" ref="CB77" si="426">(1+AD77)</f>
        <v>1</v>
      </c>
      <c r="CC77" s="264">
        <f t="shared" ref="CC77" si="427">(1+AE77)</f>
        <v>1</v>
      </c>
      <c r="CD77" s="264">
        <f t="shared" ref="CD77" si="428">(1+AF77)</f>
        <v>1</v>
      </c>
      <c r="CE77" s="264">
        <f t="shared" ref="CE77" si="429">(1+AG77)</f>
        <v>1</v>
      </c>
      <c r="CF77" s="264">
        <f t="shared" ref="CF77" si="430">(1+AH77)</f>
        <v>1</v>
      </c>
      <c r="CG77" s="264">
        <f t="shared" ref="CG77" si="431">(1+AI77)</f>
        <v>1</v>
      </c>
      <c r="CH77" s="264">
        <f t="shared" ref="CH77" si="432">(1+AJ77)</f>
        <v>1</v>
      </c>
      <c r="CI77" s="264">
        <f t="shared" ref="CI77" si="433">(1+AK77)</f>
        <v>1</v>
      </c>
      <c r="CJ77" s="265">
        <f t="shared" ref="CJ77" si="434">(1+AL77)</f>
        <v>1</v>
      </c>
      <c r="CK77" s="269">
        <f t="array" ref="CK77">IF(ISERROR(SUM($K77:$V77*$BY77:$CJ77)/SUM($K77:$V77)),1,SUM($K77:$V77*$BY77:$CJ77)/SUM($K77:$V77))-1</f>
        <v>0</v>
      </c>
      <c r="CL77" s="234"/>
    </row>
    <row r="78" spans="1:90" s="4" customFormat="1" ht="12.75" hidden="1" outlineLevel="1" x14ac:dyDescent="0.2">
      <c r="A78" s="422"/>
      <c r="B78" s="404" t="str">
        <f t="shared" ca="1" si="348"/>
        <v>Пакет "Стиль 800К", 240х200</v>
      </c>
      <c r="C78" s="649" t="str">
        <f t="shared" ca="1" si="349"/>
        <v>Пакет</v>
      </c>
      <c r="D78" s="405">
        <f t="shared" ca="1" si="350"/>
        <v>525</v>
      </c>
      <c r="E78" s="405">
        <f t="shared" ca="1" si="351"/>
        <v>525</v>
      </c>
      <c r="F78" s="405">
        <f t="shared" ca="1" si="352"/>
        <v>525</v>
      </c>
      <c r="G78" s="406">
        <f t="shared" ca="1" si="353"/>
        <v>420000</v>
      </c>
      <c r="H78" s="406">
        <f t="shared" ca="1" si="354"/>
        <v>420000</v>
      </c>
      <c r="I78" s="406">
        <f t="shared" ca="1" si="380"/>
        <v>0</v>
      </c>
      <c r="J78" s="407">
        <f t="shared" ca="1" si="355"/>
        <v>0</v>
      </c>
      <c r="K78" s="423"/>
      <c r="L78" s="424"/>
      <c r="M78" s="424"/>
      <c r="N78" s="424"/>
      <c r="O78" s="424"/>
      <c r="P78" s="424"/>
      <c r="Q78" s="424"/>
      <c r="R78" s="424"/>
      <c r="S78" s="424"/>
      <c r="T78" s="424"/>
      <c r="U78" s="424"/>
      <c r="V78" s="425"/>
      <c r="W78" s="406">
        <f t="shared" ca="1" si="1"/>
        <v>0</v>
      </c>
      <c r="X78" s="406"/>
      <c r="Y78" s="411"/>
      <c r="Z78" s="412">
        <f t="shared" ref="Z78" si="435">CK78</f>
        <v>0</v>
      </c>
      <c r="AA78" s="620"/>
      <c r="AB78" s="620"/>
      <c r="AC78" s="620"/>
      <c r="AD78" s="620"/>
      <c r="AE78" s="620"/>
      <c r="AF78" s="620"/>
      <c r="AG78" s="620"/>
      <c r="AH78" s="620"/>
      <c r="AI78" s="620"/>
      <c r="AJ78" s="620"/>
      <c r="AK78" s="620"/>
      <c r="AL78" s="620"/>
      <c r="AM78" s="621"/>
      <c r="AN78" s="351" t="s">
        <v>266</v>
      </c>
      <c r="AO78" s="351" t="str">
        <f t="shared" si="2"/>
        <v>RBC.ru</v>
      </c>
      <c r="AP78" s="115">
        <f t="shared" si="409"/>
        <v>15</v>
      </c>
      <c r="AQ78" s="31">
        <f t="shared" ca="1" si="357"/>
        <v>0.25</v>
      </c>
      <c r="AR78" s="31" t="str">
        <f t="shared" ca="1" si="357"/>
        <v>-</v>
      </c>
      <c r="AS78" s="35">
        <v>0</v>
      </c>
      <c r="AT78" s="229">
        <v>0</v>
      </c>
      <c r="AU78" s="344">
        <f t="shared" ca="1" si="358"/>
        <v>525</v>
      </c>
      <c r="AV78" s="345">
        <f t="shared" ca="1" si="359"/>
        <v>525</v>
      </c>
      <c r="AW78" s="346">
        <f t="shared" ca="1" si="360"/>
        <v>525</v>
      </c>
      <c r="AX78" s="280"/>
      <c r="AY78" s="280"/>
      <c r="AZ78" s="347">
        <f t="shared" ca="1" si="361"/>
        <v>420000</v>
      </c>
      <c r="BA78" s="348">
        <f t="shared" ca="1" si="362"/>
        <v>420000</v>
      </c>
      <c r="BB78" s="347">
        <f t="shared" ca="1" si="363"/>
        <v>800</v>
      </c>
      <c r="BC78" s="37" t="str">
        <f t="shared" ca="1" si="363"/>
        <v>Пакет</v>
      </c>
      <c r="BD78" s="229" t="str">
        <f t="shared" ca="1" si="364"/>
        <v>Пакет</v>
      </c>
      <c r="BE78" s="283">
        <f t="shared" ca="1" si="4"/>
        <v>0</v>
      </c>
      <c r="BF78" s="347">
        <f t="array" aca="1" ref="BF78" ca="1">SUM($K78:$V78*$BK78:$BV78)*$AZ78</f>
        <v>0</v>
      </c>
      <c r="BG78" s="347">
        <f t="array" aca="1" ref="BG78" ca="1">SUM($K78:$V78*$BY78:$CJ78*$BK78:$BV78)*$AZ78*$BX78</f>
        <v>0</v>
      </c>
      <c r="BH78" s="347">
        <f t="array" aca="1" ref="BH78" ca="1">SUM($K78:$V78*$BY78:$CJ78*$BK78:$BV78)*(1-$BE78)*$AZ78*$BX78</f>
        <v>0</v>
      </c>
      <c r="BI78" s="350">
        <f t="shared" ca="1" si="365"/>
        <v>0</v>
      </c>
      <c r="BJ78" s="275" t="str">
        <f t="shared" ca="1" si="366"/>
        <v>Да</v>
      </c>
      <c r="BK78" s="116">
        <f t="shared" ca="1" si="367"/>
        <v>0.6</v>
      </c>
      <c r="BL78" s="117">
        <f t="shared" ca="1" si="367"/>
        <v>0.7</v>
      </c>
      <c r="BM78" s="117">
        <f t="shared" ca="1" si="367"/>
        <v>1</v>
      </c>
      <c r="BN78" s="117">
        <f t="shared" ca="1" si="367"/>
        <v>1.1000000000000001</v>
      </c>
      <c r="BO78" s="117">
        <f t="shared" ca="1" si="367"/>
        <v>1</v>
      </c>
      <c r="BP78" s="117">
        <f t="shared" ca="1" si="367"/>
        <v>1</v>
      </c>
      <c r="BQ78" s="117">
        <f t="shared" ca="1" si="367"/>
        <v>0.7</v>
      </c>
      <c r="BR78" s="117">
        <f t="shared" ca="1" si="367"/>
        <v>0.7</v>
      </c>
      <c r="BS78" s="117">
        <f t="shared" ca="1" si="367"/>
        <v>1.25</v>
      </c>
      <c r="BT78" s="117">
        <f t="shared" ca="1" si="367"/>
        <v>1.25</v>
      </c>
      <c r="BU78" s="117">
        <f t="shared" ca="1" si="367"/>
        <v>1.25</v>
      </c>
      <c r="BV78" s="278">
        <f t="shared" ca="1" si="367"/>
        <v>1.25</v>
      </c>
      <c r="BW78" s="280">
        <f t="shared" si="6"/>
        <v>12</v>
      </c>
      <c r="BX78" s="118">
        <f>IF($AN78="Ya",100%,100%+extraDelayZ)</f>
        <v>1</v>
      </c>
      <c r="BY78" s="263">
        <f t="shared" ref="BY78" si="436">(1+AA78)</f>
        <v>1</v>
      </c>
      <c r="BZ78" s="264">
        <f t="shared" ref="BZ78" si="437">(1+AB78)</f>
        <v>1</v>
      </c>
      <c r="CA78" s="264">
        <f t="shared" ref="CA78" si="438">(1+AC78)</f>
        <v>1</v>
      </c>
      <c r="CB78" s="264">
        <f t="shared" ref="CB78" si="439">(1+AD78)</f>
        <v>1</v>
      </c>
      <c r="CC78" s="264">
        <f t="shared" ref="CC78" si="440">(1+AE78)</f>
        <v>1</v>
      </c>
      <c r="CD78" s="264">
        <f t="shared" ref="CD78" si="441">(1+AF78)</f>
        <v>1</v>
      </c>
      <c r="CE78" s="264">
        <f t="shared" ref="CE78" si="442">(1+AG78)</f>
        <v>1</v>
      </c>
      <c r="CF78" s="264">
        <f t="shared" ref="CF78" si="443">(1+AH78)</f>
        <v>1</v>
      </c>
      <c r="CG78" s="264">
        <f t="shared" ref="CG78" si="444">(1+AI78)</f>
        <v>1</v>
      </c>
      <c r="CH78" s="264">
        <f t="shared" ref="CH78" si="445">(1+AJ78)</f>
        <v>1</v>
      </c>
      <c r="CI78" s="264">
        <f t="shared" ref="CI78" si="446">(1+AK78)</f>
        <v>1</v>
      </c>
      <c r="CJ78" s="265">
        <f t="shared" ref="CJ78" si="447">(1+AL78)</f>
        <v>1</v>
      </c>
      <c r="CK78" s="269">
        <f t="array" ref="CK78">IF(ISERROR(SUM($K78:$V78*$BY78:$CJ78)/SUM($K78:$V78)),1,SUM($K78:$V78*$BY78:$CJ78)/SUM($K78:$V78))-1</f>
        <v>0</v>
      </c>
      <c r="CL78" s="234"/>
    </row>
    <row r="79" spans="1:90" s="4" customFormat="1" ht="12.75" hidden="1" outlineLevel="1" x14ac:dyDescent="0.2">
      <c r="A79" s="422"/>
      <c r="B79" s="404" t="str">
        <f t="shared" ca="1" si="348"/>
        <v>Пакет "Стиль 1600К", 240х200</v>
      </c>
      <c r="C79" s="649" t="str">
        <f t="shared" ca="1" si="349"/>
        <v>Пакет</v>
      </c>
      <c r="D79" s="405">
        <f t="shared" ca="1" si="350"/>
        <v>475</v>
      </c>
      <c r="E79" s="405">
        <f t="shared" ca="1" si="351"/>
        <v>475</v>
      </c>
      <c r="F79" s="405">
        <f t="shared" ca="1" si="352"/>
        <v>475</v>
      </c>
      <c r="G79" s="406">
        <f t="shared" ca="1" si="353"/>
        <v>760000</v>
      </c>
      <c r="H79" s="406">
        <f t="shared" ca="1" si="354"/>
        <v>760000</v>
      </c>
      <c r="I79" s="406">
        <f t="shared" ca="1" si="380"/>
        <v>0</v>
      </c>
      <c r="J79" s="407">
        <f t="shared" ca="1" si="355"/>
        <v>0</v>
      </c>
      <c r="K79" s="423"/>
      <c r="L79" s="424"/>
      <c r="M79" s="424"/>
      <c r="N79" s="424"/>
      <c r="O79" s="424"/>
      <c r="P79" s="424"/>
      <c r="Q79" s="424"/>
      <c r="R79" s="424"/>
      <c r="S79" s="424"/>
      <c r="T79" s="424"/>
      <c r="U79" s="424"/>
      <c r="V79" s="425"/>
      <c r="W79" s="406">
        <f t="shared" ca="1" si="1"/>
        <v>0</v>
      </c>
      <c r="X79" s="406"/>
      <c r="Y79" s="411"/>
      <c r="Z79" s="412">
        <f t="shared" si="382"/>
        <v>0</v>
      </c>
      <c r="AA79" s="620"/>
      <c r="AB79" s="620"/>
      <c r="AC79" s="620"/>
      <c r="AD79" s="620"/>
      <c r="AE79" s="620"/>
      <c r="AF79" s="620"/>
      <c r="AG79" s="620"/>
      <c r="AH79" s="620"/>
      <c r="AI79" s="620"/>
      <c r="AJ79" s="620"/>
      <c r="AK79" s="620"/>
      <c r="AL79" s="620"/>
      <c r="AM79" s="621"/>
      <c r="AN79" s="351" t="s">
        <v>266</v>
      </c>
      <c r="AO79" s="351" t="str">
        <f t="shared" si="2"/>
        <v>RBC.ru</v>
      </c>
      <c r="AP79" s="115">
        <f t="shared" si="409"/>
        <v>15</v>
      </c>
      <c r="AQ79" s="31">
        <f t="shared" ca="1" si="357"/>
        <v>0.25</v>
      </c>
      <c r="AR79" s="31" t="str">
        <f t="shared" ca="1" si="357"/>
        <v>-</v>
      </c>
      <c r="AS79" s="35">
        <v>0</v>
      </c>
      <c r="AT79" s="229">
        <v>0</v>
      </c>
      <c r="AU79" s="344">
        <f t="shared" ca="1" si="358"/>
        <v>475</v>
      </c>
      <c r="AV79" s="345">
        <f t="shared" ca="1" si="359"/>
        <v>475</v>
      </c>
      <c r="AW79" s="346">
        <f t="shared" ca="1" si="360"/>
        <v>475</v>
      </c>
      <c r="AX79" s="280"/>
      <c r="AY79" s="280"/>
      <c r="AZ79" s="347">
        <f t="shared" ca="1" si="361"/>
        <v>760000</v>
      </c>
      <c r="BA79" s="348">
        <f t="shared" ca="1" si="362"/>
        <v>760000</v>
      </c>
      <c r="BB79" s="347">
        <f t="shared" ca="1" si="363"/>
        <v>1600</v>
      </c>
      <c r="BC79" s="37" t="str">
        <f t="shared" ca="1" si="363"/>
        <v>Пакет</v>
      </c>
      <c r="BD79" s="229" t="str">
        <f t="shared" ca="1" si="364"/>
        <v>Пакет</v>
      </c>
      <c r="BE79" s="283">
        <f t="shared" ca="1" si="4"/>
        <v>0</v>
      </c>
      <c r="BF79" s="347">
        <f t="array" aca="1" ref="BF79" ca="1">SUM($K79:$V79*$BK79:$BV79)*$AZ79</f>
        <v>0</v>
      </c>
      <c r="BG79" s="347">
        <f t="array" aca="1" ref="BG79" ca="1">SUM($K79:$V79*$BY79:$CJ79*$BK79:$BV79)*$AZ79*$BX79</f>
        <v>0</v>
      </c>
      <c r="BH79" s="347">
        <f t="array" aca="1" ref="BH79" ca="1">SUM($K79:$V79*$BY79:$CJ79*$BK79:$BV79)*(1-$BE79)*$AZ79*$BX79</f>
        <v>0</v>
      </c>
      <c r="BI79" s="350">
        <f t="shared" ca="1" si="365"/>
        <v>0</v>
      </c>
      <c r="BJ79" s="275" t="str">
        <f t="shared" ca="1" si="366"/>
        <v>Да</v>
      </c>
      <c r="BK79" s="116">
        <f t="shared" ca="1" si="367"/>
        <v>0.6</v>
      </c>
      <c r="BL79" s="117">
        <f t="shared" ca="1" si="367"/>
        <v>0.7</v>
      </c>
      <c r="BM79" s="117">
        <f t="shared" ca="1" si="367"/>
        <v>1</v>
      </c>
      <c r="BN79" s="117">
        <f t="shared" ca="1" si="367"/>
        <v>1.1000000000000001</v>
      </c>
      <c r="BO79" s="117">
        <f t="shared" ca="1" si="367"/>
        <v>1</v>
      </c>
      <c r="BP79" s="117">
        <f t="shared" ca="1" si="367"/>
        <v>1</v>
      </c>
      <c r="BQ79" s="117">
        <f t="shared" ca="1" si="367"/>
        <v>0.7</v>
      </c>
      <c r="BR79" s="117">
        <f t="shared" ca="1" si="367"/>
        <v>0.7</v>
      </c>
      <c r="BS79" s="117">
        <f t="shared" ca="1" si="367"/>
        <v>1.25</v>
      </c>
      <c r="BT79" s="117">
        <f t="shared" ca="1" si="367"/>
        <v>1.25</v>
      </c>
      <c r="BU79" s="117">
        <f t="shared" ca="1" si="367"/>
        <v>1.25</v>
      </c>
      <c r="BV79" s="278">
        <f t="shared" ca="1" si="367"/>
        <v>1.25</v>
      </c>
      <c r="BW79" s="280">
        <f t="shared" si="6"/>
        <v>13</v>
      </c>
      <c r="BX79" s="118">
        <f>IF($AN79="Ya",100%,100%+extraDelayZ)</f>
        <v>1</v>
      </c>
      <c r="BY79" s="263">
        <f t="shared" si="383"/>
        <v>1</v>
      </c>
      <c r="BZ79" s="264">
        <f t="shared" si="384"/>
        <v>1</v>
      </c>
      <c r="CA79" s="264">
        <f t="shared" si="385"/>
        <v>1</v>
      </c>
      <c r="CB79" s="264">
        <f t="shared" si="386"/>
        <v>1</v>
      </c>
      <c r="CC79" s="264">
        <f t="shared" si="387"/>
        <v>1</v>
      </c>
      <c r="CD79" s="264">
        <f t="shared" si="388"/>
        <v>1</v>
      </c>
      <c r="CE79" s="264">
        <f t="shared" si="389"/>
        <v>1</v>
      </c>
      <c r="CF79" s="264">
        <f t="shared" si="390"/>
        <v>1</v>
      </c>
      <c r="CG79" s="264">
        <f t="shared" si="391"/>
        <v>1</v>
      </c>
      <c r="CH79" s="264">
        <f t="shared" si="392"/>
        <v>1</v>
      </c>
      <c r="CI79" s="264">
        <f t="shared" si="393"/>
        <v>1</v>
      </c>
      <c r="CJ79" s="265">
        <f t="shared" si="394"/>
        <v>1</v>
      </c>
      <c r="CK79" s="269">
        <f t="array" ref="CK79">IF(ISERROR(SUM($K79:$V79*$BY79:$CJ79)/SUM($K79:$V79)),1,SUM($K79:$V79*$BY79:$CJ79)/SUM($K79:$V79))-1</f>
        <v>0</v>
      </c>
      <c r="CL79" s="234"/>
    </row>
    <row r="80" spans="1:90" s="4" customFormat="1" ht="12.75" hidden="1" outlineLevel="1" x14ac:dyDescent="0.2">
      <c r="A80" s="422"/>
      <c r="B80" s="404" t="str">
        <f t="shared" ca="1" si="348"/>
        <v>Пакет "Женщины", 240х200</v>
      </c>
      <c r="C80" s="649" t="str">
        <f t="shared" ca="1" si="349"/>
        <v>Пакет</v>
      </c>
      <c r="D80" s="405">
        <f t="shared" ca="1" si="350"/>
        <v>500</v>
      </c>
      <c r="E80" s="405">
        <f t="shared" ca="1" si="351"/>
        <v>500</v>
      </c>
      <c r="F80" s="405">
        <f t="shared" ca="1" si="352"/>
        <v>500</v>
      </c>
      <c r="G80" s="406">
        <f t="shared" ca="1" si="353"/>
        <v>1000000</v>
      </c>
      <c r="H80" s="406">
        <f t="shared" ca="1" si="354"/>
        <v>1000000</v>
      </c>
      <c r="I80" s="406">
        <f t="shared" ca="1" si="380"/>
        <v>0</v>
      </c>
      <c r="J80" s="407">
        <f t="shared" ca="1" si="355"/>
        <v>0</v>
      </c>
      <c r="K80" s="423"/>
      <c r="L80" s="424"/>
      <c r="M80" s="424"/>
      <c r="N80" s="424"/>
      <c r="O80" s="424"/>
      <c r="P80" s="424"/>
      <c r="Q80" s="424"/>
      <c r="R80" s="424"/>
      <c r="S80" s="424"/>
      <c r="T80" s="424"/>
      <c r="U80" s="424"/>
      <c r="V80" s="425"/>
      <c r="W80" s="406">
        <f t="shared" ca="1" si="1"/>
        <v>0</v>
      </c>
      <c r="X80" s="406"/>
      <c r="Y80" s="411"/>
      <c r="Z80" s="412">
        <f t="shared" si="382"/>
        <v>0</v>
      </c>
      <c r="AA80" s="620"/>
      <c r="AB80" s="620"/>
      <c r="AC80" s="620"/>
      <c r="AD80" s="620"/>
      <c r="AE80" s="620"/>
      <c r="AF80" s="620"/>
      <c r="AG80" s="620"/>
      <c r="AH80" s="620"/>
      <c r="AI80" s="620"/>
      <c r="AJ80" s="620"/>
      <c r="AK80" s="620"/>
      <c r="AL80" s="620"/>
      <c r="AM80" s="621"/>
      <c r="AN80" s="351" t="s">
        <v>266</v>
      </c>
      <c r="AO80" s="351" t="str">
        <f t="shared" si="2"/>
        <v>RBC.ru</v>
      </c>
      <c r="AP80" s="115">
        <f t="shared" si="409"/>
        <v>15</v>
      </c>
      <c r="AQ80" s="31">
        <f t="shared" ca="1" si="357"/>
        <v>0.25</v>
      </c>
      <c r="AR80" s="31" t="str">
        <f t="shared" ca="1" si="357"/>
        <v>-</v>
      </c>
      <c r="AS80" s="35">
        <v>0</v>
      </c>
      <c r="AT80" s="229">
        <v>0</v>
      </c>
      <c r="AU80" s="344">
        <f t="shared" ca="1" si="358"/>
        <v>500</v>
      </c>
      <c r="AV80" s="345">
        <f t="shared" ca="1" si="359"/>
        <v>500</v>
      </c>
      <c r="AW80" s="346">
        <f t="shared" ca="1" si="360"/>
        <v>500</v>
      </c>
      <c r="AX80" s="280"/>
      <c r="AY80" s="280"/>
      <c r="AZ80" s="347">
        <f t="shared" ca="1" si="361"/>
        <v>1000000</v>
      </c>
      <c r="BA80" s="348">
        <f t="shared" ca="1" si="362"/>
        <v>1000000</v>
      </c>
      <c r="BB80" s="347">
        <f t="shared" ca="1" si="363"/>
        <v>2000</v>
      </c>
      <c r="BC80" s="37" t="str">
        <f t="shared" ca="1" si="363"/>
        <v>Пакет</v>
      </c>
      <c r="BD80" s="229" t="str">
        <f t="shared" ca="1" si="364"/>
        <v>Пакет</v>
      </c>
      <c r="BE80" s="283">
        <f t="shared" ca="1" si="4"/>
        <v>0</v>
      </c>
      <c r="BF80" s="347">
        <f t="array" aca="1" ref="BF80" ca="1">SUM($K80:$V80*$BK80:$BV80)*$AZ80</f>
        <v>0</v>
      </c>
      <c r="BG80" s="347">
        <f t="array" aca="1" ref="BG80" ca="1">SUM($K80:$V80*$BY80:$CJ80*$BK80:$BV80)*$AZ80*$BX80</f>
        <v>0</v>
      </c>
      <c r="BH80" s="347">
        <f t="array" aca="1" ref="BH80" ca="1">SUM($K80:$V80*$BY80:$CJ80*$BK80:$BV80)*(1-$BE80)*$AZ80*$BX80</f>
        <v>0</v>
      </c>
      <c r="BI80" s="350">
        <f t="shared" ca="1" si="365"/>
        <v>0</v>
      </c>
      <c r="BJ80" s="275" t="str">
        <f t="shared" ca="1" si="366"/>
        <v>Да</v>
      </c>
      <c r="BK80" s="116">
        <f t="shared" ca="1" si="367"/>
        <v>0.6</v>
      </c>
      <c r="BL80" s="117">
        <f t="shared" ca="1" si="367"/>
        <v>0.7</v>
      </c>
      <c r="BM80" s="117">
        <f t="shared" ca="1" si="367"/>
        <v>1</v>
      </c>
      <c r="BN80" s="117">
        <f t="shared" ca="1" si="367"/>
        <v>1.1000000000000001</v>
      </c>
      <c r="BO80" s="117">
        <f t="shared" ca="1" si="367"/>
        <v>1</v>
      </c>
      <c r="BP80" s="117">
        <f t="shared" ca="1" si="367"/>
        <v>1</v>
      </c>
      <c r="BQ80" s="117">
        <f t="shared" ca="1" si="367"/>
        <v>0.7</v>
      </c>
      <c r="BR80" s="117">
        <f t="shared" ca="1" si="367"/>
        <v>0.7</v>
      </c>
      <c r="BS80" s="117">
        <f t="shared" ca="1" si="367"/>
        <v>1.25</v>
      </c>
      <c r="BT80" s="117">
        <f t="shared" ca="1" si="367"/>
        <v>1.25</v>
      </c>
      <c r="BU80" s="117">
        <f t="shared" ca="1" si="367"/>
        <v>1.25</v>
      </c>
      <c r="BV80" s="278">
        <f t="shared" ca="1" si="367"/>
        <v>1.25</v>
      </c>
      <c r="BW80" s="280">
        <f t="shared" si="6"/>
        <v>14</v>
      </c>
      <c r="BX80" s="118">
        <f>IF($AN80="Ya",100%,100%+extraDelayZ)</f>
        <v>1</v>
      </c>
      <c r="BY80" s="263">
        <f t="shared" si="383"/>
        <v>1</v>
      </c>
      <c r="BZ80" s="264">
        <f t="shared" si="384"/>
        <v>1</v>
      </c>
      <c r="CA80" s="264">
        <f t="shared" si="385"/>
        <v>1</v>
      </c>
      <c r="CB80" s="264">
        <f t="shared" si="386"/>
        <v>1</v>
      </c>
      <c r="CC80" s="264">
        <f t="shared" si="387"/>
        <v>1</v>
      </c>
      <c r="CD80" s="264">
        <f t="shared" si="388"/>
        <v>1</v>
      </c>
      <c r="CE80" s="264">
        <f t="shared" si="389"/>
        <v>1</v>
      </c>
      <c r="CF80" s="264">
        <f t="shared" si="390"/>
        <v>1</v>
      </c>
      <c r="CG80" s="264">
        <f t="shared" si="391"/>
        <v>1</v>
      </c>
      <c r="CH80" s="264">
        <f t="shared" si="392"/>
        <v>1</v>
      </c>
      <c r="CI80" s="264">
        <f t="shared" si="393"/>
        <v>1</v>
      </c>
      <c r="CJ80" s="265">
        <f t="shared" si="394"/>
        <v>1</v>
      </c>
      <c r="CK80" s="269">
        <f t="array" ref="CK80">IF(ISERROR(SUM($K80:$V80*$BY80:$CJ80)/SUM($K80:$V80)),1,SUM($K80:$V80*$BY80:$CJ80)/SUM($K80:$V80))-1</f>
        <v>0</v>
      </c>
      <c r="CL80" s="234"/>
    </row>
    <row r="81" spans="1:90" s="4" customFormat="1" ht="12.75" hidden="1" outlineLevel="1" x14ac:dyDescent="0.2">
      <c r="A81" s="422"/>
      <c r="B81" s="414" t="str">
        <f t="shared" ca="1" si="348"/>
        <v>Годовая программа, 240х200</v>
      </c>
      <c r="C81" s="649" t="str">
        <f t="shared" ca="1" si="349"/>
        <v>Пакет</v>
      </c>
      <c r="D81" s="415">
        <f t="shared" ca="1" si="350"/>
        <v>200</v>
      </c>
      <c r="E81" s="415">
        <f t="shared" ca="1" si="351"/>
        <v>200</v>
      </c>
      <c r="F81" s="415">
        <f t="shared" ca="1" si="352"/>
        <v>200</v>
      </c>
      <c r="G81" s="416">
        <f t="shared" ca="1" si="353"/>
        <v>30000000</v>
      </c>
      <c r="H81" s="416">
        <f t="shared" ca="1" si="354"/>
        <v>30000000</v>
      </c>
      <c r="I81" s="406">
        <f t="shared" ca="1" si="380"/>
        <v>0</v>
      </c>
      <c r="J81" s="407">
        <f t="shared" ca="1" si="355"/>
        <v>0</v>
      </c>
      <c r="K81" s="426"/>
      <c r="L81" s="427"/>
      <c r="M81" s="427"/>
      <c r="N81" s="427"/>
      <c r="O81" s="427"/>
      <c r="P81" s="427"/>
      <c r="Q81" s="427"/>
      <c r="R81" s="427"/>
      <c r="S81" s="427"/>
      <c r="T81" s="427"/>
      <c r="U81" s="427"/>
      <c r="V81" s="428"/>
      <c r="W81" s="416">
        <f t="shared" ca="1" si="1"/>
        <v>0</v>
      </c>
      <c r="X81" s="416"/>
      <c r="Y81" s="420"/>
      <c r="Z81" s="412">
        <f t="shared" si="382"/>
        <v>0</v>
      </c>
      <c r="AA81" s="625"/>
      <c r="AB81" s="625"/>
      <c r="AC81" s="625"/>
      <c r="AD81" s="625"/>
      <c r="AE81" s="625"/>
      <c r="AF81" s="625"/>
      <c r="AG81" s="625"/>
      <c r="AH81" s="625"/>
      <c r="AI81" s="625"/>
      <c r="AJ81" s="625"/>
      <c r="AK81" s="625"/>
      <c r="AL81" s="625"/>
      <c r="AM81" s="626"/>
      <c r="AN81" s="351" t="s">
        <v>266</v>
      </c>
      <c r="AO81" s="351" t="str">
        <f t="shared" si="2"/>
        <v>RBC.ru</v>
      </c>
      <c r="AP81" s="115">
        <f t="shared" si="409"/>
        <v>15</v>
      </c>
      <c r="AQ81" s="31">
        <f t="shared" ca="1" si="357"/>
        <v>0.25</v>
      </c>
      <c r="AR81" s="31" t="str">
        <f t="shared" ca="1" si="357"/>
        <v>-</v>
      </c>
      <c r="AS81" s="35">
        <v>0</v>
      </c>
      <c r="AT81" s="229">
        <v>0</v>
      </c>
      <c r="AU81" s="344">
        <f t="shared" ca="1" si="358"/>
        <v>200</v>
      </c>
      <c r="AV81" s="345">
        <f t="shared" ca="1" si="359"/>
        <v>200</v>
      </c>
      <c r="AW81" s="346">
        <f t="shared" ca="1" si="360"/>
        <v>200</v>
      </c>
      <c r="AX81" s="280"/>
      <c r="AY81" s="280"/>
      <c r="AZ81" s="347">
        <f t="shared" ca="1" si="361"/>
        <v>30000000</v>
      </c>
      <c r="BA81" s="348">
        <f t="shared" ca="1" si="362"/>
        <v>30000000</v>
      </c>
      <c r="BB81" s="347">
        <f t="shared" ca="1" si="363"/>
        <v>150000</v>
      </c>
      <c r="BC81" s="37" t="str">
        <f t="shared" ca="1" si="363"/>
        <v>Пакет</v>
      </c>
      <c r="BD81" s="229" t="str">
        <f t="shared" ca="1" si="364"/>
        <v>Пакет</v>
      </c>
      <c r="BE81" s="283">
        <f t="shared" ca="1" si="4"/>
        <v>0</v>
      </c>
      <c r="BF81" s="347">
        <f t="array" aca="1" ref="BF81" ca="1">SUM($K81:$V81*$BK81:$BV81)*$AZ81</f>
        <v>0</v>
      </c>
      <c r="BG81" s="347">
        <f t="array" aca="1" ref="BG81" ca="1">SUM($K81:$V81*$BY81:$CJ81*$BK81:$BV81)*$AZ81*$BX81</f>
        <v>0</v>
      </c>
      <c r="BH81" s="347">
        <f t="array" aca="1" ref="BH81" ca="1">SUM($K81:$V81*$BY81:$CJ81*$BK81:$BV81)*(1-$BE81)*$AZ81*$BX81</f>
        <v>0</v>
      </c>
      <c r="BI81" s="350">
        <f t="shared" ca="1" si="365"/>
        <v>0</v>
      </c>
      <c r="BJ81" s="275" t="str">
        <f t="shared" ca="1" si="366"/>
        <v>Нет</v>
      </c>
      <c r="BK81" s="116">
        <f t="shared" ca="1" si="367"/>
        <v>1</v>
      </c>
      <c r="BL81" s="117">
        <f t="shared" ca="1" si="367"/>
        <v>1</v>
      </c>
      <c r="BM81" s="117">
        <f t="shared" ca="1" si="367"/>
        <v>1</v>
      </c>
      <c r="BN81" s="117">
        <f t="shared" ca="1" si="367"/>
        <v>1</v>
      </c>
      <c r="BO81" s="117">
        <f t="shared" ca="1" si="367"/>
        <v>1</v>
      </c>
      <c r="BP81" s="117">
        <f t="shared" ca="1" si="367"/>
        <v>1</v>
      </c>
      <c r="BQ81" s="117">
        <f t="shared" ca="1" si="367"/>
        <v>1</v>
      </c>
      <c r="BR81" s="117">
        <f t="shared" ca="1" si="367"/>
        <v>1</v>
      </c>
      <c r="BS81" s="117">
        <f t="shared" ca="1" si="367"/>
        <v>1</v>
      </c>
      <c r="BT81" s="117">
        <f t="shared" ca="1" si="367"/>
        <v>1</v>
      </c>
      <c r="BU81" s="117">
        <f t="shared" ca="1" si="367"/>
        <v>1</v>
      </c>
      <c r="BV81" s="278">
        <f t="shared" ca="1" si="367"/>
        <v>1</v>
      </c>
      <c r="BW81" s="280">
        <f t="shared" si="6"/>
        <v>15</v>
      </c>
      <c r="BX81" s="118">
        <f>IF($AN81="Ya",100%,100%+extraDelayZ)</f>
        <v>1</v>
      </c>
      <c r="BY81" s="263">
        <f t="shared" si="383"/>
        <v>1</v>
      </c>
      <c r="BZ81" s="264">
        <f t="shared" si="384"/>
        <v>1</v>
      </c>
      <c r="CA81" s="264">
        <f t="shared" si="385"/>
        <v>1</v>
      </c>
      <c r="CB81" s="264">
        <f t="shared" si="386"/>
        <v>1</v>
      </c>
      <c r="CC81" s="264">
        <f t="shared" si="387"/>
        <v>1</v>
      </c>
      <c r="CD81" s="264">
        <f t="shared" si="388"/>
        <v>1</v>
      </c>
      <c r="CE81" s="264">
        <f t="shared" si="389"/>
        <v>1</v>
      </c>
      <c r="CF81" s="264">
        <f t="shared" si="390"/>
        <v>1</v>
      </c>
      <c r="CG81" s="264">
        <f t="shared" si="391"/>
        <v>1</v>
      </c>
      <c r="CH81" s="264">
        <f t="shared" si="392"/>
        <v>1</v>
      </c>
      <c r="CI81" s="264">
        <f t="shared" si="393"/>
        <v>1</v>
      </c>
      <c r="CJ81" s="265">
        <f t="shared" si="394"/>
        <v>1</v>
      </c>
      <c r="CK81" s="269">
        <f t="array" ref="CK81">IF(ISERROR(SUM($K81:$V81*$BY81:$CJ81)/SUM($K81:$V81)),1,SUM($K81:$V81*$BY81:$CJ81)/SUM($K81:$V81))-1</f>
        <v>0</v>
      </c>
      <c r="CL81" s="234"/>
    </row>
    <row r="82" spans="1:90" ht="15" collapsed="1" x14ac:dyDescent="0.2">
      <c r="A82" s="391"/>
      <c r="B82" s="392" t="str">
        <f>CONCATENATE($AO82,IF($AX82&gt;0,CONCATENATE("  (план ",TEXT(INDEX(indBudX,MATCH($AN82,indPrefixX,0)),"# ##0")," руб.)"),""))</f>
        <v>Afisha.ru</v>
      </c>
      <c r="C82" s="650" t="s">
        <v>363</v>
      </c>
      <c r="D82" s="393"/>
      <c r="E82" s="394"/>
      <c r="F82" s="394"/>
      <c r="G82" s="395"/>
      <c r="H82" s="395"/>
      <c r="I82" s="395">
        <f t="shared" ref="I82" ca="1" si="448">$BG82</f>
        <v>0</v>
      </c>
      <c r="J82" s="396">
        <f ca="1">$BH82</f>
        <v>0</v>
      </c>
      <c r="K82" s="397"/>
      <c r="L82" s="398"/>
      <c r="M82" s="398"/>
      <c r="N82" s="398"/>
      <c r="O82" s="398"/>
      <c r="P82" s="398"/>
      <c r="Q82" s="398"/>
      <c r="R82" s="398"/>
      <c r="S82" s="398"/>
      <c r="T82" s="398"/>
      <c r="U82" s="398"/>
      <c r="V82" s="399"/>
      <c r="W82" s="395">
        <f t="shared" ca="1" si="1"/>
        <v>0</v>
      </c>
      <c r="X82" s="576"/>
      <c r="Y82" s="400">
        <f ca="1">$BE82</f>
        <v>0</v>
      </c>
      <c r="Z82" s="401"/>
      <c r="AA82" s="402"/>
      <c r="AB82" s="402"/>
      <c r="AC82" s="402"/>
      <c r="AD82" s="402"/>
      <c r="AE82" s="402"/>
      <c r="AF82" s="402"/>
      <c r="AG82" s="402"/>
      <c r="AH82" s="402"/>
      <c r="AI82" s="402"/>
      <c r="AJ82" s="402"/>
      <c r="AK82" s="402"/>
      <c r="AL82" s="402"/>
      <c r="AM82" s="403"/>
      <c r="AN82" s="130" t="s">
        <v>127</v>
      </c>
      <c r="AO82" s="130" t="str">
        <f t="shared" si="2"/>
        <v>Afisha.ru</v>
      </c>
      <c r="AP82" s="119">
        <f t="shared" si="409"/>
        <v>19</v>
      </c>
      <c r="AQ82" s="120"/>
      <c r="AR82" s="120"/>
      <c r="AS82" s="121"/>
      <c r="AT82" s="228"/>
      <c r="AU82" s="232"/>
      <c r="AV82" s="179"/>
      <c r="AW82" s="233"/>
      <c r="AX82" s="279">
        <f>IF(ISERROR(INDEX(indBudX,MATCH($AN82,indPrefixX,0))),0,INDEX(indBudX,MATCH($AN82,indPrefixX,0)))</f>
        <v>0</v>
      </c>
      <c r="AY82" s="279">
        <f>IF(ISNUMBER($X82),$X82,0)</f>
        <v>0</v>
      </c>
      <c r="AZ82" s="123"/>
      <c r="BA82" s="125"/>
      <c r="BB82" s="123"/>
      <c r="BC82" s="124"/>
      <c r="BD82" s="464"/>
      <c r="BE82" s="282">
        <f t="shared" ca="1" si="4"/>
        <v>0</v>
      </c>
      <c r="BF82" s="123">
        <f t="shared" ref="BF82:BI82" ca="1" si="449">SUM(OFFSET(BF82,1,0,$AP82-1,1))</f>
        <v>0</v>
      </c>
      <c r="BG82" s="123">
        <f t="shared" ca="1" si="449"/>
        <v>0</v>
      </c>
      <c r="BH82" s="123">
        <f t="shared" ca="1" si="449"/>
        <v>0</v>
      </c>
      <c r="BI82" s="273">
        <f t="shared" ca="1" si="449"/>
        <v>0</v>
      </c>
      <c r="BJ82" s="274"/>
      <c r="BK82" s="126"/>
      <c r="BL82" s="127"/>
      <c r="BM82" s="127"/>
      <c r="BN82" s="127"/>
      <c r="BO82" s="127"/>
      <c r="BP82" s="127"/>
      <c r="BQ82" s="127"/>
      <c r="BR82" s="127"/>
      <c r="BS82" s="127"/>
      <c r="BT82" s="127"/>
      <c r="BU82" s="127"/>
      <c r="BV82" s="277"/>
      <c r="BW82" s="279">
        <f t="shared" si="6"/>
        <v>1</v>
      </c>
      <c r="BX82" s="128"/>
      <c r="BY82" s="260"/>
      <c r="BZ82" s="261"/>
      <c r="CA82" s="261"/>
      <c r="CB82" s="261"/>
      <c r="CC82" s="261"/>
      <c r="CD82" s="261"/>
      <c r="CE82" s="261"/>
      <c r="CF82" s="261"/>
      <c r="CG82" s="261"/>
      <c r="CH82" s="261"/>
      <c r="CI82" s="261"/>
      <c r="CJ82" s="262"/>
      <c r="CK82" s="270"/>
      <c r="CL82" s="234"/>
    </row>
    <row r="83" spans="1:90" ht="12.75" hidden="1" outlineLevel="1" x14ac:dyDescent="0.2">
      <c r="B83" s="404" t="str">
        <f t="shared" ref="B83:B100" ca="1" si="450">INDEX(INDIRECT(LOWER($AN83)&amp;"Price"),$BW83,2)</f>
        <v>Пакет "Охват 1000К", 240х400</v>
      </c>
      <c r="C83" s="676" t="str">
        <f t="shared" ref="C83:C100" ca="1" si="451">$BD83</f>
        <v>Пакет</v>
      </c>
      <c r="D83" s="405">
        <f t="shared" ref="D83:D100" ca="1" si="452">$AU83</f>
        <v>550</v>
      </c>
      <c r="E83" s="405">
        <f t="shared" ref="E83:E100" ca="1" si="453">$AV83</f>
        <v>550</v>
      </c>
      <c r="F83" s="405">
        <f t="shared" ref="F83:F100" ca="1" si="454">$AW83</f>
        <v>550</v>
      </c>
      <c r="G83" s="406">
        <f t="shared" ref="G83:G100" ca="1" si="455">$AZ83</f>
        <v>550000</v>
      </c>
      <c r="H83" s="406">
        <f t="shared" ref="H83:H100" ca="1" si="456">$BA83</f>
        <v>550000</v>
      </c>
      <c r="I83" s="406">
        <f t="shared" ref="I83:I101" ca="1" si="457">$BG83</f>
        <v>0</v>
      </c>
      <c r="J83" s="407">
        <f t="shared" ref="J83:J100" ca="1" si="458">$BH83</f>
        <v>0</v>
      </c>
      <c r="K83" s="423"/>
      <c r="L83" s="424"/>
      <c r="M83" s="424"/>
      <c r="N83" s="424"/>
      <c r="O83" s="424"/>
      <c r="P83" s="424"/>
      <c r="Q83" s="424"/>
      <c r="R83" s="424"/>
      <c r="S83" s="424"/>
      <c r="T83" s="424"/>
      <c r="U83" s="424"/>
      <c r="V83" s="425"/>
      <c r="W83" s="406">
        <f t="shared" ca="1" si="1"/>
        <v>0</v>
      </c>
      <c r="X83" s="406"/>
      <c r="Y83" s="411"/>
      <c r="Z83" s="412">
        <f t="shared" ref="Z83" si="459">CK83</f>
        <v>0</v>
      </c>
      <c r="AA83" s="685"/>
      <c r="AB83" s="685"/>
      <c r="AC83" s="685"/>
      <c r="AD83" s="685"/>
      <c r="AE83" s="685"/>
      <c r="AF83" s="685"/>
      <c r="AG83" s="685"/>
      <c r="AH83" s="685"/>
      <c r="AI83" s="685"/>
      <c r="AJ83" s="685"/>
      <c r="AK83" s="685"/>
      <c r="AL83" s="685"/>
      <c r="AM83" s="686"/>
      <c r="AN83" s="351" t="s">
        <v>127</v>
      </c>
      <c r="AO83" s="351" t="str">
        <f t="shared" si="2"/>
        <v>Afisha.ru</v>
      </c>
      <c r="AP83" s="115">
        <f t="shared" si="409"/>
        <v>19</v>
      </c>
      <c r="AQ83" s="31">
        <f t="shared" ref="AQ83:AR100" ca="1" si="460">HLOOKUP(AQ$10,INDIRECT(LOWER($AN83)&amp;"Price"),$BW83,FALSE)</f>
        <v>0.25</v>
      </c>
      <c r="AR83" s="31">
        <f t="shared" ca="1" si="460"/>
        <v>0.15</v>
      </c>
      <c r="AS83" s="35">
        <v>0</v>
      </c>
      <c r="AT83" s="229">
        <v>0</v>
      </c>
      <c r="AU83" s="344">
        <f t="shared" ref="AU83:AU100" ca="1" si="461">HLOOKUP(AU$10,INDIRECT(LOWER($AN83)&amp;"Price"),$BW83,FALSE)</f>
        <v>550</v>
      </c>
      <c r="AV83" s="345">
        <f t="shared" ref="AV83:AV100" ca="1" si="462">IF(ISERROR($BG83/$BI83),$AU83,$BG83/$BI83)</f>
        <v>550</v>
      </c>
      <c r="AW83" s="346">
        <f t="shared" ref="AW83:AW100" ca="1" si="463">$AV83*(1-$BE83)</f>
        <v>550</v>
      </c>
      <c r="AX83" s="280"/>
      <c r="AY83" s="280"/>
      <c r="AZ83" s="347">
        <f t="shared" ref="AZ83:AZ100" ca="1" si="464">HLOOKUP(AZ$10,INDIRECT(LOWER($AN83)&amp;"Price"),$BW83,FALSE)</f>
        <v>550000</v>
      </c>
      <c r="BA83" s="348">
        <f t="shared" ref="BA83:BA100" ca="1" si="465">$AZ83*(1-$BE83)</f>
        <v>550000</v>
      </c>
      <c r="BB83" s="347">
        <f t="shared" ref="BB83:BC100" ca="1" si="466">HLOOKUP(BB$10,INDIRECT(LOWER($AN83)&amp;"Price"),$BW83,FALSE)</f>
        <v>1000</v>
      </c>
      <c r="BC83" s="37" t="str">
        <f t="shared" ca="1" si="466"/>
        <v>Пакет</v>
      </c>
      <c r="BD83" s="229" t="str">
        <f t="shared" ref="BD83:BD100" ca="1" si="467">IF(ISERROR(VLOOKUP($BC83,typeIndexPair,2,FALSE)),"",VLOOKUP($BC83,typeIndexPair,2,FALSE))</f>
        <v>Пакет</v>
      </c>
      <c r="BE83" s="283">
        <f t="shared" ca="1" si="4"/>
        <v>0</v>
      </c>
      <c r="BF83" s="347">
        <f t="array" aca="1" ref="BF83" ca="1">SUM($K83:$V83*$BK83:$BV83)*$AZ83</f>
        <v>0</v>
      </c>
      <c r="BG83" s="347">
        <f t="array" aca="1" ref="BG83" ca="1">SUM($K83:$V83*$BY83:$CJ83*$BK83:$BV83)*$AZ83*$BX83</f>
        <v>0</v>
      </c>
      <c r="BH83" s="347">
        <f t="array" aca="1" ref="BH83" ca="1">SUM($K83:$V83*$BY83:$CJ83*$BK83:$BV83)*(1-$BE83)*$AZ83*$BX83</f>
        <v>0</v>
      </c>
      <c r="BI83" s="350">
        <f t="shared" ref="BI83:BI100" ca="1" si="468">SUM($K83:$V83)*$BB83</f>
        <v>0</v>
      </c>
      <c r="BJ83" s="275" t="str">
        <f t="shared" ref="BJ83:BJ100" ca="1" si="469">IF(ISERROR(HLOOKUP(BJ$10,INDIRECT(LOWER($AN83)&amp;"Price"),$BW83,FALSE)),"Да",HLOOKUP(BJ$10,INDIRECT(LOWER($AN83)&amp;"Price"),$BW83,FALSE))</f>
        <v>Да</v>
      </c>
      <c r="BK83" s="116">
        <f t="shared" ref="BK83:BV100" ca="1" si="470">IF($BJ83="Особ.",INDEX(INDIRECT(LOWER($AN83)&amp;"Season2"),BK$9),IF($BJ83="Да",INDEX(INDIRECT(LOWER($AN83)&amp;"Season"),BK$9),100%))</f>
        <v>0.8</v>
      </c>
      <c r="BL83" s="117">
        <f t="shared" ca="1" si="470"/>
        <v>0.9</v>
      </c>
      <c r="BM83" s="117">
        <f t="shared" ca="1" si="470"/>
        <v>1</v>
      </c>
      <c r="BN83" s="117">
        <f t="shared" ca="1" si="470"/>
        <v>1</v>
      </c>
      <c r="BO83" s="117">
        <f t="shared" ca="1" si="470"/>
        <v>1</v>
      </c>
      <c r="BP83" s="117">
        <f t="shared" ca="1" si="470"/>
        <v>1</v>
      </c>
      <c r="BQ83" s="117">
        <f t="shared" ca="1" si="470"/>
        <v>0.9</v>
      </c>
      <c r="BR83" s="117">
        <f t="shared" ca="1" si="470"/>
        <v>0.9</v>
      </c>
      <c r="BS83" s="117">
        <f t="shared" ca="1" si="470"/>
        <v>1.3</v>
      </c>
      <c r="BT83" s="117">
        <f t="shared" ca="1" si="470"/>
        <v>1.3</v>
      </c>
      <c r="BU83" s="117">
        <f t="shared" ca="1" si="470"/>
        <v>1.3</v>
      </c>
      <c r="BV83" s="278">
        <f t="shared" ca="1" si="470"/>
        <v>1.3</v>
      </c>
      <c r="BW83" s="280">
        <f t="shared" si="6"/>
        <v>2</v>
      </c>
      <c r="BX83" s="118">
        <f>IF($AN83="Ya",100%,100%+extraDelayZ)</f>
        <v>1</v>
      </c>
      <c r="BY83" s="263">
        <f t="shared" ref="BY83" si="471">(1+AA83)</f>
        <v>1</v>
      </c>
      <c r="BZ83" s="264">
        <f t="shared" ref="BZ83" si="472">(1+AB83)</f>
        <v>1</v>
      </c>
      <c r="CA83" s="264">
        <f t="shared" ref="CA83" si="473">(1+AC83)</f>
        <v>1</v>
      </c>
      <c r="CB83" s="264">
        <f t="shared" ref="CB83" si="474">(1+AD83)</f>
        <v>1</v>
      </c>
      <c r="CC83" s="264">
        <f t="shared" ref="CC83" si="475">(1+AE83)</f>
        <v>1</v>
      </c>
      <c r="CD83" s="264">
        <f t="shared" ref="CD83" si="476">(1+AF83)</f>
        <v>1</v>
      </c>
      <c r="CE83" s="264">
        <f t="shared" ref="CE83" si="477">(1+AG83)</f>
        <v>1</v>
      </c>
      <c r="CF83" s="264">
        <f t="shared" ref="CF83" si="478">(1+AH83)</f>
        <v>1</v>
      </c>
      <c r="CG83" s="264">
        <f t="shared" ref="CG83" si="479">(1+AI83)</f>
        <v>1</v>
      </c>
      <c r="CH83" s="264">
        <f t="shared" ref="CH83" si="480">(1+AJ83)</f>
        <v>1</v>
      </c>
      <c r="CI83" s="264">
        <f t="shared" ref="CI83" si="481">(1+AK83)</f>
        <v>1</v>
      </c>
      <c r="CJ83" s="265">
        <f t="shared" ref="CJ83" si="482">(1+AL83)</f>
        <v>1</v>
      </c>
      <c r="CK83" s="269">
        <f t="array" ref="CK83">IF(ISERROR(SUM($K83:$V83*$BY83:$CJ83)/SUM($K83:$V83)),1,SUM($K83:$V83*$BY83:$CJ83)/SUM($K83:$V83))-1</f>
        <v>0</v>
      </c>
      <c r="CL83" s="234"/>
    </row>
    <row r="84" spans="1:90" ht="12.75" hidden="1" outlineLevel="1" x14ac:dyDescent="0.2">
      <c r="B84" s="404" t="str">
        <f t="shared" ca="1" si="450"/>
        <v>Пакет "Охват 1500К", 240х400</v>
      </c>
      <c r="C84" s="676" t="str">
        <f t="shared" ca="1" si="451"/>
        <v>Пакет</v>
      </c>
      <c r="D84" s="405">
        <f t="shared" ca="1" si="452"/>
        <v>500</v>
      </c>
      <c r="E84" s="405">
        <f t="shared" ca="1" si="453"/>
        <v>500</v>
      </c>
      <c r="F84" s="405">
        <f t="shared" ca="1" si="454"/>
        <v>500</v>
      </c>
      <c r="G84" s="406">
        <f t="shared" ca="1" si="455"/>
        <v>750000</v>
      </c>
      <c r="H84" s="406">
        <f t="shared" ca="1" si="456"/>
        <v>750000</v>
      </c>
      <c r="I84" s="406">
        <f t="shared" ca="1" si="457"/>
        <v>0</v>
      </c>
      <c r="J84" s="407">
        <f t="shared" ca="1" si="458"/>
        <v>0</v>
      </c>
      <c r="K84" s="423"/>
      <c r="L84" s="424"/>
      <c r="M84" s="424"/>
      <c r="N84" s="424"/>
      <c r="O84" s="424"/>
      <c r="P84" s="424"/>
      <c r="Q84" s="424"/>
      <c r="R84" s="424"/>
      <c r="S84" s="424"/>
      <c r="T84" s="424"/>
      <c r="U84" s="424"/>
      <c r="V84" s="425"/>
      <c r="W84" s="406">
        <f t="shared" ca="1" si="1"/>
        <v>0</v>
      </c>
      <c r="X84" s="406"/>
      <c r="Y84" s="411"/>
      <c r="Z84" s="412">
        <f t="shared" ref="Z84:Z85" si="483">CK84</f>
        <v>0</v>
      </c>
      <c r="AA84" s="685"/>
      <c r="AB84" s="685"/>
      <c r="AC84" s="685"/>
      <c r="AD84" s="685"/>
      <c r="AE84" s="685"/>
      <c r="AF84" s="685"/>
      <c r="AG84" s="685"/>
      <c r="AH84" s="685"/>
      <c r="AI84" s="685"/>
      <c r="AJ84" s="685"/>
      <c r="AK84" s="685"/>
      <c r="AL84" s="685"/>
      <c r="AM84" s="686"/>
      <c r="AN84" s="351" t="s">
        <v>127</v>
      </c>
      <c r="AO84" s="351" t="str">
        <f t="shared" si="2"/>
        <v>Afisha.ru</v>
      </c>
      <c r="AP84" s="115">
        <f t="shared" si="409"/>
        <v>19</v>
      </c>
      <c r="AQ84" s="31">
        <f t="shared" ca="1" si="460"/>
        <v>0.25</v>
      </c>
      <c r="AR84" s="31">
        <f t="shared" ca="1" si="460"/>
        <v>0.15</v>
      </c>
      <c r="AS84" s="35">
        <v>0</v>
      </c>
      <c r="AT84" s="229">
        <v>0</v>
      </c>
      <c r="AU84" s="344">
        <f t="shared" ca="1" si="461"/>
        <v>500</v>
      </c>
      <c r="AV84" s="345">
        <f t="shared" ca="1" si="462"/>
        <v>500</v>
      </c>
      <c r="AW84" s="346">
        <f t="shared" ca="1" si="463"/>
        <v>500</v>
      </c>
      <c r="AX84" s="280"/>
      <c r="AY84" s="280"/>
      <c r="AZ84" s="347">
        <f t="shared" ca="1" si="464"/>
        <v>750000</v>
      </c>
      <c r="BA84" s="348">
        <f t="shared" ca="1" si="465"/>
        <v>750000</v>
      </c>
      <c r="BB84" s="347">
        <f t="shared" ca="1" si="466"/>
        <v>1500</v>
      </c>
      <c r="BC84" s="37" t="str">
        <f t="shared" ca="1" si="466"/>
        <v>Пакет</v>
      </c>
      <c r="BD84" s="229" t="str">
        <f t="shared" ca="1" si="467"/>
        <v>Пакет</v>
      </c>
      <c r="BE84" s="283">
        <f t="shared" ca="1" si="4"/>
        <v>0</v>
      </c>
      <c r="BF84" s="347">
        <f t="array" aca="1" ref="BF84" ca="1">SUM($K84:$V84*$BK84:$BV84)*$AZ84</f>
        <v>0</v>
      </c>
      <c r="BG84" s="347">
        <f t="array" aca="1" ref="BG84" ca="1">SUM($K84:$V84*$BY84:$CJ84*$BK84:$BV84)*$AZ84*$BX84</f>
        <v>0</v>
      </c>
      <c r="BH84" s="347">
        <f t="array" aca="1" ref="BH84" ca="1">SUM($K84:$V84*$BY84:$CJ84*$BK84:$BV84)*(1-$BE84)*$AZ84*$BX84</f>
        <v>0</v>
      </c>
      <c r="BI84" s="350">
        <f t="shared" ca="1" si="468"/>
        <v>0</v>
      </c>
      <c r="BJ84" s="275" t="str">
        <f t="shared" ca="1" si="469"/>
        <v>Да</v>
      </c>
      <c r="BK84" s="116">
        <f t="shared" ca="1" si="470"/>
        <v>0.8</v>
      </c>
      <c r="BL84" s="117">
        <f t="shared" ca="1" si="470"/>
        <v>0.9</v>
      </c>
      <c r="BM84" s="117">
        <f t="shared" ca="1" si="470"/>
        <v>1</v>
      </c>
      <c r="BN84" s="117">
        <f t="shared" ca="1" si="470"/>
        <v>1</v>
      </c>
      <c r="BO84" s="117">
        <f t="shared" ca="1" si="470"/>
        <v>1</v>
      </c>
      <c r="BP84" s="117">
        <f t="shared" ca="1" si="470"/>
        <v>1</v>
      </c>
      <c r="BQ84" s="117">
        <f t="shared" ca="1" si="470"/>
        <v>0.9</v>
      </c>
      <c r="BR84" s="117">
        <f t="shared" ca="1" si="470"/>
        <v>0.9</v>
      </c>
      <c r="BS84" s="117">
        <f t="shared" ca="1" si="470"/>
        <v>1.3</v>
      </c>
      <c r="BT84" s="117">
        <f t="shared" ca="1" si="470"/>
        <v>1.3</v>
      </c>
      <c r="BU84" s="117">
        <f t="shared" ca="1" si="470"/>
        <v>1.3</v>
      </c>
      <c r="BV84" s="278">
        <f t="shared" ca="1" si="470"/>
        <v>1.3</v>
      </c>
      <c r="BW84" s="280">
        <f t="shared" si="6"/>
        <v>3</v>
      </c>
      <c r="BX84" s="118">
        <f>IF($AN84="Ya",100%,100%+extraDelayZ)</f>
        <v>1</v>
      </c>
      <c r="BY84" s="263">
        <f t="shared" ref="BY84:BY85" si="484">(1+AA84)</f>
        <v>1</v>
      </c>
      <c r="BZ84" s="264">
        <f t="shared" ref="BZ84:BZ85" si="485">(1+AB84)</f>
        <v>1</v>
      </c>
      <c r="CA84" s="264">
        <f t="shared" ref="CA84:CA85" si="486">(1+AC84)</f>
        <v>1</v>
      </c>
      <c r="CB84" s="264">
        <f t="shared" ref="CB84:CB85" si="487">(1+AD84)</f>
        <v>1</v>
      </c>
      <c r="CC84" s="264">
        <f t="shared" ref="CC84:CC85" si="488">(1+AE84)</f>
        <v>1</v>
      </c>
      <c r="CD84" s="264">
        <f t="shared" ref="CD84:CD85" si="489">(1+AF84)</f>
        <v>1</v>
      </c>
      <c r="CE84" s="264">
        <f t="shared" ref="CE84:CE85" si="490">(1+AG84)</f>
        <v>1</v>
      </c>
      <c r="CF84" s="264">
        <f t="shared" ref="CF84:CF85" si="491">(1+AH84)</f>
        <v>1</v>
      </c>
      <c r="CG84" s="264">
        <f t="shared" ref="CG84:CG85" si="492">(1+AI84)</f>
        <v>1</v>
      </c>
      <c r="CH84" s="264">
        <f t="shared" ref="CH84:CH85" si="493">(1+AJ84)</f>
        <v>1</v>
      </c>
      <c r="CI84" s="264">
        <f t="shared" ref="CI84:CI85" si="494">(1+AK84)</f>
        <v>1</v>
      </c>
      <c r="CJ84" s="265">
        <f t="shared" ref="CJ84:CJ85" si="495">(1+AL84)</f>
        <v>1</v>
      </c>
      <c r="CK84" s="269">
        <f t="array" ref="CK84">IF(ISERROR(SUM($K84:$V84*$BY84:$CJ84)/SUM($K84:$V84)),1,SUM($K84:$V84*$BY84:$CJ84)/SUM($K84:$V84))-1</f>
        <v>0</v>
      </c>
      <c r="CL84" s="234"/>
    </row>
    <row r="85" spans="1:90" ht="12.75" hidden="1" outlineLevel="1" x14ac:dyDescent="0.2">
      <c r="B85" s="404" t="str">
        <f t="shared" ca="1" si="450"/>
        <v>Пакет "Москва", 240х400</v>
      </c>
      <c r="C85" s="676" t="str">
        <f t="shared" ca="1" si="451"/>
        <v>Пакет</v>
      </c>
      <c r="D85" s="405">
        <f t="shared" ca="1" si="452"/>
        <v>600</v>
      </c>
      <c r="E85" s="405">
        <f t="shared" ca="1" si="453"/>
        <v>600</v>
      </c>
      <c r="F85" s="405">
        <f t="shared" ca="1" si="454"/>
        <v>600</v>
      </c>
      <c r="G85" s="406">
        <f t="shared" ca="1" si="455"/>
        <v>420000</v>
      </c>
      <c r="H85" s="406">
        <f t="shared" ca="1" si="456"/>
        <v>420000</v>
      </c>
      <c r="I85" s="406">
        <f t="shared" ca="1" si="457"/>
        <v>0</v>
      </c>
      <c r="J85" s="407">
        <f t="shared" ca="1" si="458"/>
        <v>0</v>
      </c>
      <c r="K85" s="423"/>
      <c r="L85" s="424"/>
      <c r="M85" s="424"/>
      <c r="N85" s="424"/>
      <c r="O85" s="424"/>
      <c r="P85" s="424"/>
      <c r="Q85" s="424"/>
      <c r="R85" s="424"/>
      <c r="S85" s="424"/>
      <c r="T85" s="424"/>
      <c r="U85" s="424"/>
      <c r="V85" s="425"/>
      <c r="W85" s="406">
        <f t="shared" ca="1" si="1"/>
        <v>0</v>
      </c>
      <c r="X85" s="406"/>
      <c r="Y85" s="411"/>
      <c r="Z85" s="412">
        <f t="shared" si="483"/>
        <v>0</v>
      </c>
      <c r="AA85" s="685"/>
      <c r="AB85" s="685"/>
      <c r="AC85" s="685"/>
      <c r="AD85" s="685"/>
      <c r="AE85" s="685"/>
      <c r="AF85" s="685"/>
      <c r="AG85" s="685"/>
      <c r="AH85" s="685"/>
      <c r="AI85" s="685"/>
      <c r="AJ85" s="685"/>
      <c r="AK85" s="685"/>
      <c r="AL85" s="685"/>
      <c r="AM85" s="686"/>
      <c r="AN85" s="351" t="s">
        <v>127</v>
      </c>
      <c r="AO85" s="351" t="str">
        <f t="shared" si="2"/>
        <v>Afisha.ru</v>
      </c>
      <c r="AP85" s="115">
        <f t="shared" si="409"/>
        <v>19</v>
      </c>
      <c r="AQ85" s="31" t="str">
        <f t="shared" ca="1" si="460"/>
        <v>Вкл.</v>
      </c>
      <c r="AR85" s="31">
        <f t="shared" ca="1" si="460"/>
        <v>0.15</v>
      </c>
      <c r="AS85" s="35">
        <v>0</v>
      </c>
      <c r="AT85" s="229">
        <v>0</v>
      </c>
      <c r="AU85" s="344">
        <f t="shared" ca="1" si="461"/>
        <v>600</v>
      </c>
      <c r="AV85" s="345">
        <f t="shared" ca="1" si="462"/>
        <v>600</v>
      </c>
      <c r="AW85" s="346">
        <f t="shared" ca="1" si="463"/>
        <v>600</v>
      </c>
      <c r="AX85" s="280"/>
      <c r="AY85" s="280"/>
      <c r="AZ85" s="347">
        <f t="shared" ca="1" si="464"/>
        <v>420000</v>
      </c>
      <c r="BA85" s="348">
        <f t="shared" ca="1" si="465"/>
        <v>420000</v>
      </c>
      <c r="BB85" s="347">
        <f t="shared" ca="1" si="466"/>
        <v>700</v>
      </c>
      <c r="BC85" s="37" t="str">
        <f t="shared" ca="1" si="466"/>
        <v>Пакет</v>
      </c>
      <c r="BD85" s="229" t="str">
        <f t="shared" ca="1" si="467"/>
        <v>Пакет</v>
      </c>
      <c r="BE85" s="283">
        <f t="shared" ca="1" si="4"/>
        <v>0</v>
      </c>
      <c r="BF85" s="347">
        <f t="array" aca="1" ref="BF85" ca="1">SUM($K85:$V85*$BK85:$BV85)*$AZ85</f>
        <v>0</v>
      </c>
      <c r="BG85" s="347">
        <f t="array" aca="1" ref="BG85" ca="1">SUM($K85:$V85*$BY85:$CJ85*$BK85:$BV85)*$AZ85*$BX85</f>
        <v>0</v>
      </c>
      <c r="BH85" s="347">
        <f t="array" aca="1" ref="BH85" ca="1">SUM($K85:$V85*$BY85:$CJ85*$BK85:$BV85)*(1-$BE85)*$AZ85*$BX85</f>
        <v>0</v>
      </c>
      <c r="BI85" s="350">
        <f t="shared" ca="1" si="468"/>
        <v>0</v>
      </c>
      <c r="BJ85" s="275" t="str">
        <f t="shared" ca="1" si="469"/>
        <v>Да</v>
      </c>
      <c r="BK85" s="116">
        <f t="shared" ca="1" si="470"/>
        <v>0.8</v>
      </c>
      <c r="BL85" s="117">
        <f t="shared" ca="1" si="470"/>
        <v>0.9</v>
      </c>
      <c r="BM85" s="117">
        <f t="shared" ca="1" si="470"/>
        <v>1</v>
      </c>
      <c r="BN85" s="117">
        <f t="shared" ca="1" si="470"/>
        <v>1</v>
      </c>
      <c r="BO85" s="117">
        <f t="shared" ca="1" si="470"/>
        <v>1</v>
      </c>
      <c r="BP85" s="117">
        <f t="shared" ca="1" si="470"/>
        <v>1</v>
      </c>
      <c r="BQ85" s="117">
        <f t="shared" ca="1" si="470"/>
        <v>0.9</v>
      </c>
      <c r="BR85" s="117">
        <f t="shared" ca="1" si="470"/>
        <v>0.9</v>
      </c>
      <c r="BS85" s="117">
        <f t="shared" ca="1" si="470"/>
        <v>1.3</v>
      </c>
      <c r="BT85" s="117">
        <f t="shared" ca="1" si="470"/>
        <v>1.3</v>
      </c>
      <c r="BU85" s="117">
        <f t="shared" ca="1" si="470"/>
        <v>1.3</v>
      </c>
      <c r="BV85" s="278">
        <f t="shared" ca="1" si="470"/>
        <v>1.3</v>
      </c>
      <c r="BW85" s="280">
        <f t="shared" si="6"/>
        <v>4</v>
      </c>
      <c r="BX85" s="118">
        <f>IF($AN85="Ya",100%,100%+extraDelayZ)</f>
        <v>1</v>
      </c>
      <c r="BY85" s="263">
        <f t="shared" si="484"/>
        <v>1</v>
      </c>
      <c r="BZ85" s="264">
        <f t="shared" si="485"/>
        <v>1</v>
      </c>
      <c r="CA85" s="264">
        <f t="shared" si="486"/>
        <v>1</v>
      </c>
      <c r="CB85" s="264">
        <f t="shared" si="487"/>
        <v>1</v>
      </c>
      <c r="CC85" s="264">
        <f t="shared" si="488"/>
        <v>1</v>
      </c>
      <c r="CD85" s="264">
        <f t="shared" si="489"/>
        <v>1</v>
      </c>
      <c r="CE85" s="264">
        <f t="shared" si="490"/>
        <v>1</v>
      </c>
      <c r="CF85" s="264">
        <f t="shared" si="491"/>
        <v>1</v>
      </c>
      <c r="CG85" s="264">
        <f t="shared" si="492"/>
        <v>1</v>
      </c>
      <c r="CH85" s="264">
        <f t="shared" si="493"/>
        <v>1</v>
      </c>
      <c r="CI85" s="264">
        <f t="shared" si="494"/>
        <v>1</v>
      </c>
      <c r="CJ85" s="265">
        <f t="shared" si="495"/>
        <v>1</v>
      </c>
      <c r="CK85" s="269">
        <f t="array" ref="CK85">IF(ISERROR(SUM($K85:$V85*$BY85:$CJ85)/SUM($K85:$V85)),1,SUM($K85:$V85*$BY85:$CJ85)/SUM($K85:$V85))-1</f>
        <v>0</v>
      </c>
      <c r="CL85" s="234"/>
    </row>
    <row r="86" spans="1:90" ht="12.75" hidden="1" outlineLevel="1" x14ac:dyDescent="0.2">
      <c r="B86" s="404" t="str">
        <f t="shared" ca="1" si="450"/>
        <v>Пакет "Питер", 240х400</v>
      </c>
      <c r="C86" s="676" t="str">
        <f t="shared" ca="1" si="451"/>
        <v>Пакет</v>
      </c>
      <c r="D86" s="405">
        <f t="shared" ca="1" si="452"/>
        <v>550</v>
      </c>
      <c r="E86" s="405">
        <f t="shared" ca="1" si="453"/>
        <v>550</v>
      </c>
      <c r="F86" s="405">
        <f t="shared" ca="1" si="454"/>
        <v>550</v>
      </c>
      <c r="G86" s="406">
        <f t="shared" ca="1" si="455"/>
        <v>137500</v>
      </c>
      <c r="H86" s="406">
        <f t="shared" ca="1" si="456"/>
        <v>137500</v>
      </c>
      <c r="I86" s="406">
        <f t="shared" ca="1" si="457"/>
        <v>0</v>
      </c>
      <c r="J86" s="407">
        <f t="shared" ca="1" si="458"/>
        <v>0</v>
      </c>
      <c r="K86" s="423"/>
      <c r="L86" s="424"/>
      <c r="M86" s="424"/>
      <c r="N86" s="424"/>
      <c r="O86" s="424"/>
      <c r="P86" s="424"/>
      <c r="Q86" s="424"/>
      <c r="R86" s="424"/>
      <c r="S86" s="424"/>
      <c r="T86" s="424"/>
      <c r="U86" s="424"/>
      <c r="V86" s="425"/>
      <c r="W86" s="406">
        <f t="shared" ca="1" si="1"/>
        <v>0</v>
      </c>
      <c r="X86" s="406"/>
      <c r="Y86" s="411"/>
      <c r="Z86" s="412">
        <f t="shared" ref="Z86:Z89" si="496">CK86</f>
        <v>0</v>
      </c>
      <c r="AA86" s="685"/>
      <c r="AB86" s="685"/>
      <c r="AC86" s="685"/>
      <c r="AD86" s="685"/>
      <c r="AE86" s="685"/>
      <c r="AF86" s="685"/>
      <c r="AG86" s="685"/>
      <c r="AH86" s="685"/>
      <c r="AI86" s="685"/>
      <c r="AJ86" s="685"/>
      <c r="AK86" s="685"/>
      <c r="AL86" s="685"/>
      <c r="AM86" s="686"/>
      <c r="AN86" s="351" t="s">
        <v>127</v>
      </c>
      <c r="AO86" s="351" t="str">
        <f t="shared" si="2"/>
        <v>Afisha.ru</v>
      </c>
      <c r="AP86" s="115">
        <f t="shared" si="409"/>
        <v>19</v>
      </c>
      <c r="AQ86" s="31" t="str">
        <f t="shared" ca="1" si="460"/>
        <v>Вкл.</v>
      </c>
      <c r="AR86" s="31">
        <f t="shared" ca="1" si="460"/>
        <v>0.15</v>
      </c>
      <c r="AS86" s="35">
        <v>0</v>
      </c>
      <c r="AT86" s="229">
        <v>0</v>
      </c>
      <c r="AU86" s="344">
        <f t="shared" ca="1" si="461"/>
        <v>550</v>
      </c>
      <c r="AV86" s="345">
        <f t="shared" ca="1" si="462"/>
        <v>550</v>
      </c>
      <c r="AW86" s="346">
        <f t="shared" ca="1" si="463"/>
        <v>550</v>
      </c>
      <c r="AX86" s="280"/>
      <c r="AY86" s="280"/>
      <c r="AZ86" s="347">
        <f t="shared" ca="1" si="464"/>
        <v>137500</v>
      </c>
      <c r="BA86" s="348">
        <f t="shared" ca="1" si="465"/>
        <v>137500</v>
      </c>
      <c r="BB86" s="347">
        <f t="shared" ca="1" si="466"/>
        <v>250</v>
      </c>
      <c r="BC86" s="37" t="str">
        <f t="shared" ca="1" si="466"/>
        <v>Пакет</v>
      </c>
      <c r="BD86" s="229" t="str">
        <f t="shared" ca="1" si="467"/>
        <v>Пакет</v>
      </c>
      <c r="BE86" s="283">
        <f t="shared" ca="1" si="4"/>
        <v>0</v>
      </c>
      <c r="BF86" s="347">
        <f t="array" aca="1" ref="BF86" ca="1">SUM($K86:$V86*$BK86:$BV86)*$AZ86</f>
        <v>0</v>
      </c>
      <c r="BG86" s="347">
        <f t="array" aca="1" ref="BG86" ca="1">SUM($K86:$V86*$BY86:$CJ86*$BK86:$BV86)*$AZ86*$BX86</f>
        <v>0</v>
      </c>
      <c r="BH86" s="347">
        <f t="array" aca="1" ref="BH86" ca="1">SUM($K86:$V86*$BY86:$CJ86*$BK86:$BV86)*(1-$BE86)*$AZ86*$BX86</f>
        <v>0</v>
      </c>
      <c r="BI86" s="350">
        <f t="shared" ca="1" si="468"/>
        <v>0</v>
      </c>
      <c r="BJ86" s="275" t="str">
        <f t="shared" ca="1" si="469"/>
        <v>Да</v>
      </c>
      <c r="BK86" s="116">
        <f t="shared" ca="1" si="470"/>
        <v>0.8</v>
      </c>
      <c r="BL86" s="117">
        <f t="shared" ca="1" si="470"/>
        <v>0.9</v>
      </c>
      <c r="BM86" s="117">
        <f t="shared" ca="1" si="470"/>
        <v>1</v>
      </c>
      <c r="BN86" s="117">
        <f t="shared" ca="1" si="470"/>
        <v>1</v>
      </c>
      <c r="BO86" s="117">
        <f t="shared" ca="1" si="470"/>
        <v>1</v>
      </c>
      <c r="BP86" s="117">
        <f t="shared" ca="1" si="470"/>
        <v>1</v>
      </c>
      <c r="BQ86" s="117">
        <f t="shared" ca="1" si="470"/>
        <v>0.9</v>
      </c>
      <c r="BR86" s="117">
        <f t="shared" ca="1" si="470"/>
        <v>0.9</v>
      </c>
      <c r="BS86" s="117">
        <f t="shared" ca="1" si="470"/>
        <v>1.3</v>
      </c>
      <c r="BT86" s="117">
        <f t="shared" ca="1" si="470"/>
        <v>1.3</v>
      </c>
      <c r="BU86" s="117">
        <f t="shared" ca="1" si="470"/>
        <v>1.3</v>
      </c>
      <c r="BV86" s="278">
        <f t="shared" ca="1" si="470"/>
        <v>1.3</v>
      </c>
      <c r="BW86" s="280">
        <f t="shared" si="6"/>
        <v>5</v>
      </c>
      <c r="BX86" s="118">
        <f>IF($AN86="Ya",100%,100%+extraDelayZ)</f>
        <v>1</v>
      </c>
      <c r="BY86" s="263">
        <f t="shared" ref="BY86:BY89" si="497">(1+AA86)</f>
        <v>1</v>
      </c>
      <c r="BZ86" s="264">
        <f t="shared" ref="BZ86:BZ89" si="498">(1+AB86)</f>
        <v>1</v>
      </c>
      <c r="CA86" s="264">
        <f t="shared" ref="CA86:CA89" si="499">(1+AC86)</f>
        <v>1</v>
      </c>
      <c r="CB86" s="264">
        <f t="shared" ref="CB86:CB89" si="500">(1+AD86)</f>
        <v>1</v>
      </c>
      <c r="CC86" s="264">
        <f t="shared" ref="CC86:CC89" si="501">(1+AE86)</f>
        <v>1</v>
      </c>
      <c r="CD86" s="264">
        <f t="shared" ref="CD86:CD89" si="502">(1+AF86)</f>
        <v>1</v>
      </c>
      <c r="CE86" s="264">
        <f t="shared" ref="CE86:CE89" si="503">(1+AG86)</f>
        <v>1</v>
      </c>
      <c r="CF86" s="264">
        <f t="shared" ref="CF86:CF89" si="504">(1+AH86)</f>
        <v>1</v>
      </c>
      <c r="CG86" s="264">
        <f t="shared" ref="CG86:CG89" si="505">(1+AI86)</f>
        <v>1</v>
      </c>
      <c r="CH86" s="264">
        <f t="shared" ref="CH86:CH89" si="506">(1+AJ86)</f>
        <v>1</v>
      </c>
      <c r="CI86" s="264">
        <f t="shared" ref="CI86:CI89" si="507">(1+AK86)</f>
        <v>1</v>
      </c>
      <c r="CJ86" s="265">
        <f t="shared" ref="CJ86:CJ89" si="508">(1+AL86)</f>
        <v>1</v>
      </c>
      <c r="CK86" s="269">
        <f t="array" ref="CK86">IF(ISERROR(SUM($K86:$V86*$BY86:$CJ86)/SUM($K86:$V86)),1,SUM($K86:$V86*$BY86:$CJ86)/SUM($K86:$V86))-1</f>
        <v>0</v>
      </c>
      <c r="CL86" s="234"/>
    </row>
    <row r="87" spans="1:90" ht="12.75" hidden="1" outlineLevel="1" x14ac:dyDescent="0.2">
      <c r="B87" s="404" t="str">
        <f t="shared" ca="1" si="450"/>
        <v>Пакет "Nightparty", 240х400</v>
      </c>
      <c r="C87" s="676" t="str">
        <f t="shared" ca="1" si="451"/>
        <v>Пакет</v>
      </c>
      <c r="D87" s="405">
        <f t="shared" ca="1" si="452"/>
        <v>250</v>
      </c>
      <c r="E87" s="405">
        <f t="shared" ca="1" si="453"/>
        <v>250</v>
      </c>
      <c r="F87" s="405">
        <f t="shared" ca="1" si="454"/>
        <v>250</v>
      </c>
      <c r="G87" s="406">
        <f t="shared" ca="1" si="455"/>
        <v>150000</v>
      </c>
      <c r="H87" s="406">
        <f t="shared" ca="1" si="456"/>
        <v>150000</v>
      </c>
      <c r="I87" s="406">
        <f t="shared" ca="1" si="457"/>
        <v>0</v>
      </c>
      <c r="J87" s="407">
        <f t="shared" ca="1" si="458"/>
        <v>0</v>
      </c>
      <c r="K87" s="423"/>
      <c r="L87" s="424"/>
      <c r="M87" s="424"/>
      <c r="N87" s="424"/>
      <c r="O87" s="424"/>
      <c r="P87" s="424"/>
      <c r="Q87" s="424"/>
      <c r="R87" s="424"/>
      <c r="S87" s="424"/>
      <c r="T87" s="424"/>
      <c r="U87" s="424"/>
      <c r="V87" s="425"/>
      <c r="W87" s="406">
        <f t="shared" ca="1" si="1"/>
        <v>0</v>
      </c>
      <c r="X87" s="406"/>
      <c r="Y87" s="411"/>
      <c r="Z87" s="412">
        <f t="shared" si="496"/>
        <v>0</v>
      </c>
      <c r="AA87" s="685"/>
      <c r="AB87" s="685"/>
      <c r="AC87" s="685"/>
      <c r="AD87" s="685"/>
      <c r="AE87" s="685"/>
      <c r="AF87" s="685"/>
      <c r="AG87" s="685"/>
      <c r="AH87" s="685"/>
      <c r="AI87" s="685"/>
      <c r="AJ87" s="685"/>
      <c r="AK87" s="685"/>
      <c r="AL87" s="685"/>
      <c r="AM87" s="686"/>
      <c r="AN87" s="351" t="s">
        <v>127</v>
      </c>
      <c r="AO87" s="351" t="str">
        <f t="shared" si="2"/>
        <v>Afisha.ru</v>
      </c>
      <c r="AP87" s="115">
        <f t="shared" si="409"/>
        <v>19</v>
      </c>
      <c r="AQ87" s="31">
        <f t="shared" ca="1" si="460"/>
        <v>0.25</v>
      </c>
      <c r="AR87" s="31">
        <f t="shared" ca="1" si="460"/>
        <v>0.15</v>
      </c>
      <c r="AS87" s="35">
        <v>0</v>
      </c>
      <c r="AT87" s="229">
        <v>0</v>
      </c>
      <c r="AU87" s="344">
        <f t="shared" ca="1" si="461"/>
        <v>250</v>
      </c>
      <c r="AV87" s="345">
        <f t="shared" ca="1" si="462"/>
        <v>250</v>
      </c>
      <c r="AW87" s="346">
        <f t="shared" ca="1" si="463"/>
        <v>250</v>
      </c>
      <c r="AX87" s="280"/>
      <c r="AY87" s="280"/>
      <c r="AZ87" s="347">
        <f t="shared" ca="1" si="464"/>
        <v>150000</v>
      </c>
      <c r="BA87" s="348">
        <f t="shared" ca="1" si="465"/>
        <v>150000</v>
      </c>
      <c r="BB87" s="347">
        <f t="shared" ca="1" si="466"/>
        <v>600</v>
      </c>
      <c r="BC87" s="37" t="str">
        <f t="shared" ca="1" si="466"/>
        <v>Пакет</v>
      </c>
      <c r="BD87" s="229" t="str">
        <f t="shared" ca="1" si="467"/>
        <v>Пакет</v>
      </c>
      <c r="BE87" s="283">
        <f t="shared" ca="1" si="4"/>
        <v>0</v>
      </c>
      <c r="BF87" s="347">
        <f t="array" aca="1" ref="BF87" ca="1">SUM($K87:$V87*$BK87:$BV87)*$AZ87</f>
        <v>0</v>
      </c>
      <c r="BG87" s="347">
        <f t="array" aca="1" ref="BG87" ca="1">SUM($K87:$V87*$BY87:$CJ87*$BK87:$BV87)*$AZ87*$BX87</f>
        <v>0</v>
      </c>
      <c r="BH87" s="347">
        <f t="array" aca="1" ref="BH87" ca="1">SUM($K87:$V87*$BY87:$CJ87*$BK87:$BV87)*(1-$BE87)*$AZ87*$BX87</f>
        <v>0</v>
      </c>
      <c r="BI87" s="350">
        <f t="shared" ca="1" si="468"/>
        <v>0</v>
      </c>
      <c r="BJ87" s="275" t="str">
        <f t="shared" ca="1" si="469"/>
        <v>Да</v>
      </c>
      <c r="BK87" s="116">
        <f t="shared" ca="1" si="470"/>
        <v>0.8</v>
      </c>
      <c r="BL87" s="117">
        <f t="shared" ca="1" si="470"/>
        <v>0.9</v>
      </c>
      <c r="BM87" s="117">
        <f t="shared" ca="1" si="470"/>
        <v>1</v>
      </c>
      <c r="BN87" s="117">
        <f t="shared" ca="1" si="470"/>
        <v>1</v>
      </c>
      <c r="BO87" s="117">
        <f t="shared" ca="1" si="470"/>
        <v>1</v>
      </c>
      <c r="BP87" s="117">
        <f t="shared" ca="1" si="470"/>
        <v>1</v>
      </c>
      <c r="BQ87" s="117">
        <f t="shared" ca="1" si="470"/>
        <v>0.9</v>
      </c>
      <c r="BR87" s="117">
        <f t="shared" ca="1" si="470"/>
        <v>0.9</v>
      </c>
      <c r="BS87" s="117">
        <f t="shared" ca="1" si="470"/>
        <v>1.3</v>
      </c>
      <c r="BT87" s="117">
        <f t="shared" ca="1" si="470"/>
        <v>1.3</v>
      </c>
      <c r="BU87" s="117">
        <f t="shared" ca="1" si="470"/>
        <v>1.3</v>
      </c>
      <c r="BV87" s="278">
        <f t="shared" ca="1" si="470"/>
        <v>1.3</v>
      </c>
      <c r="BW87" s="280">
        <f t="shared" si="6"/>
        <v>6</v>
      </c>
      <c r="BX87" s="118">
        <f>IF($AN87="Ya",100%,100%+extraDelayZ)</f>
        <v>1</v>
      </c>
      <c r="BY87" s="263">
        <f t="shared" si="497"/>
        <v>1</v>
      </c>
      <c r="BZ87" s="264">
        <f t="shared" si="498"/>
        <v>1</v>
      </c>
      <c r="CA87" s="264">
        <f t="shared" si="499"/>
        <v>1</v>
      </c>
      <c r="CB87" s="264">
        <f t="shared" si="500"/>
        <v>1</v>
      </c>
      <c r="CC87" s="264">
        <f t="shared" si="501"/>
        <v>1</v>
      </c>
      <c r="CD87" s="264">
        <f t="shared" si="502"/>
        <v>1</v>
      </c>
      <c r="CE87" s="264">
        <f t="shared" si="503"/>
        <v>1</v>
      </c>
      <c r="CF87" s="264">
        <f t="shared" si="504"/>
        <v>1</v>
      </c>
      <c r="CG87" s="264">
        <f t="shared" si="505"/>
        <v>1</v>
      </c>
      <c r="CH87" s="264">
        <f t="shared" si="506"/>
        <v>1</v>
      </c>
      <c r="CI87" s="264">
        <f t="shared" si="507"/>
        <v>1</v>
      </c>
      <c r="CJ87" s="265">
        <f t="shared" si="508"/>
        <v>1</v>
      </c>
      <c r="CK87" s="269">
        <f t="array" ref="CK87">IF(ISERROR(SUM($K87:$V87*$BY87:$CJ87)/SUM($K87:$V87)),1,SUM($K87:$V87*$BY87:$CJ87)/SUM($K87:$V87))-1</f>
        <v>0</v>
      </c>
      <c r="CL87" s="234"/>
    </row>
    <row r="88" spans="1:90" ht="12.75" hidden="1" outlineLevel="1" x14ac:dyDescent="0.2">
      <c r="B88" s="404" t="str">
        <f t="shared" ca="1" si="450"/>
        <v>Nightparty.ru, динамика, 240х400</v>
      </c>
      <c r="C88" s="676" t="str">
        <f t="shared" ca="1" si="451"/>
        <v>х1000</v>
      </c>
      <c r="D88" s="405">
        <f t="shared" ca="1" si="452"/>
        <v>500</v>
      </c>
      <c r="E88" s="405">
        <f t="shared" ca="1" si="453"/>
        <v>500</v>
      </c>
      <c r="F88" s="405">
        <f t="shared" ca="1" si="454"/>
        <v>500</v>
      </c>
      <c r="G88" s="406">
        <f t="shared" ca="1" si="455"/>
        <v>500</v>
      </c>
      <c r="H88" s="406">
        <f t="shared" ca="1" si="456"/>
        <v>500</v>
      </c>
      <c r="I88" s="406">
        <f t="shared" ca="1" si="457"/>
        <v>0</v>
      </c>
      <c r="J88" s="407">
        <f t="shared" ca="1" si="458"/>
        <v>0</v>
      </c>
      <c r="K88" s="423"/>
      <c r="L88" s="424"/>
      <c r="M88" s="424"/>
      <c r="N88" s="424"/>
      <c r="O88" s="424"/>
      <c r="P88" s="424"/>
      <c r="Q88" s="424"/>
      <c r="R88" s="424"/>
      <c r="S88" s="424"/>
      <c r="T88" s="424"/>
      <c r="U88" s="424"/>
      <c r="V88" s="425"/>
      <c r="W88" s="406">
        <f t="shared" ca="1" si="1"/>
        <v>0</v>
      </c>
      <c r="X88" s="406"/>
      <c r="Y88" s="411"/>
      <c r="Z88" s="412">
        <f t="shared" si="496"/>
        <v>0</v>
      </c>
      <c r="AA88" s="685"/>
      <c r="AB88" s="685"/>
      <c r="AC88" s="685"/>
      <c r="AD88" s="685"/>
      <c r="AE88" s="685"/>
      <c r="AF88" s="685"/>
      <c r="AG88" s="685"/>
      <c r="AH88" s="685"/>
      <c r="AI88" s="685"/>
      <c r="AJ88" s="685"/>
      <c r="AK88" s="685"/>
      <c r="AL88" s="685"/>
      <c r="AM88" s="686"/>
      <c r="AN88" s="351" t="s">
        <v>127</v>
      </c>
      <c r="AO88" s="351" t="str">
        <f t="shared" si="2"/>
        <v>Afisha.ru</v>
      </c>
      <c r="AP88" s="115">
        <f t="shared" si="409"/>
        <v>19</v>
      </c>
      <c r="AQ88" s="31">
        <f t="shared" ca="1" si="460"/>
        <v>0.25</v>
      </c>
      <c r="AR88" s="31">
        <f t="shared" ca="1" si="460"/>
        <v>0.15</v>
      </c>
      <c r="AS88" s="35">
        <v>0</v>
      </c>
      <c r="AT88" s="229">
        <v>0</v>
      </c>
      <c r="AU88" s="344">
        <f t="shared" ca="1" si="461"/>
        <v>500</v>
      </c>
      <c r="AV88" s="345">
        <f t="shared" ca="1" si="462"/>
        <v>500</v>
      </c>
      <c r="AW88" s="346">
        <f t="shared" ca="1" si="463"/>
        <v>500</v>
      </c>
      <c r="AX88" s="280"/>
      <c r="AY88" s="280"/>
      <c r="AZ88" s="347">
        <f t="shared" ca="1" si="464"/>
        <v>500</v>
      </c>
      <c r="BA88" s="348">
        <f t="shared" ca="1" si="465"/>
        <v>500</v>
      </c>
      <c r="BB88" s="347">
        <f t="shared" ca="1" si="466"/>
        <v>1</v>
      </c>
      <c r="BC88" s="37" t="str">
        <f t="shared" ca="1" si="466"/>
        <v>1000 контактов</v>
      </c>
      <c r="BD88" s="229" t="str">
        <f t="shared" ca="1" si="467"/>
        <v>х1000</v>
      </c>
      <c r="BE88" s="283">
        <f t="shared" ca="1" si="4"/>
        <v>0</v>
      </c>
      <c r="BF88" s="347">
        <f t="array" aca="1" ref="BF88" ca="1">SUM($K88:$V88*$BK88:$BV88)*$AZ88</f>
        <v>0</v>
      </c>
      <c r="BG88" s="347">
        <f t="array" aca="1" ref="BG88" ca="1">SUM($K88:$V88*$BY88:$CJ88*$BK88:$BV88)*$AZ88*$BX88</f>
        <v>0</v>
      </c>
      <c r="BH88" s="347">
        <f t="array" aca="1" ref="BH88" ca="1">SUM($K88:$V88*$BY88:$CJ88*$BK88:$BV88)*(1-$BE88)*$AZ88*$BX88</f>
        <v>0</v>
      </c>
      <c r="BI88" s="350">
        <f t="shared" ca="1" si="468"/>
        <v>0</v>
      </c>
      <c r="BJ88" s="275" t="str">
        <f t="shared" ca="1" si="469"/>
        <v>Да</v>
      </c>
      <c r="BK88" s="116">
        <f t="shared" ca="1" si="470"/>
        <v>0.8</v>
      </c>
      <c r="BL88" s="117">
        <f t="shared" ca="1" si="470"/>
        <v>0.9</v>
      </c>
      <c r="BM88" s="117">
        <f t="shared" ca="1" si="470"/>
        <v>1</v>
      </c>
      <c r="BN88" s="117">
        <f t="shared" ca="1" si="470"/>
        <v>1</v>
      </c>
      <c r="BO88" s="117">
        <f t="shared" ca="1" si="470"/>
        <v>1</v>
      </c>
      <c r="BP88" s="117">
        <f t="shared" ca="1" si="470"/>
        <v>1</v>
      </c>
      <c r="BQ88" s="117">
        <f t="shared" ca="1" si="470"/>
        <v>0.9</v>
      </c>
      <c r="BR88" s="117">
        <f t="shared" ca="1" si="470"/>
        <v>0.9</v>
      </c>
      <c r="BS88" s="117">
        <f t="shared" ca="1" si="470"/>
        <v>1.3</v>
      </c>
      <c r="BT88" s="117">
        <f t="shared" ca="1" si="470"/>
        <v>1.3</v>
      </c>
      <c r="BU88" s="117">
        <f t="shared" ca="1" si="470"/>
        <v>1.3</v>
      </c>
      <c r="BV88" s="278">
        <f t="shared" ca="1" si="470"/>
        <v>1.3</v>
      </c>
      <c r="BW88" s="280">
        <f t="shared" si="6"/>
        <v>7</v>
      </c>
      <c r="BX88" s="118">
        <f>IF($AN88="Ya",100%,100%+extraDelayZ)</f>
        <v>1</v>
      </c>
      <c r="BY88" s="263">
        <f t="shared" si="497"/>
        <v>1</v>
      </c>
      <c r="BZ88" s="264">
        <f t="shared" si="498"/>
        <v>1</v>
      </c>
      <c r="CA88" s="264">
        <f t="shared" si="499"/>
        <v>1</v>
      </c>
      <c r="CB88" s="264">
        <f t="shared" si="500"/>
        <v>1</v>
      </c>
      <c r="CC88" s="264">
        <f t="shared" si="501"/>
        <v>1</v>
      </c>
      <c r="CD88" s="264">
        <f t="shared" si="502"/>
        <v>1</v>
      </c>
      <c r="CE88" s="264">
        <f t="shared" si="503"/>
        <v>1</v>
      </c>
      <c r="CF88" s="264">
        <f t="shared" si="504"/>
        <v>1</v>
      </c>
      <c r="CG88" s="264">
        <f t="shared" si="505"/>
        <v>1</v>
      </c>
      <c r="CH88" s="264">
        <f t="shared" si="506"/>
        <v>1</v>
      </c>
      <c r="CI88" s="264">
        <f t="shared" si="507"/>
        <v>1</v>
      </c>
      <c r="CJ88" s="265">
        <f t="shared" si="508"/>
        <v>1</v>
      </c>
      <c r="CK88" s="269">
        <f t="array" ref="CK88">IF(ISERROR(SUM($K88:$V88*$BY88:$CJ88)/SUM($K88:$V88)),1,SUM($K88:$V88*$BY88:$CJ88)/SUM($K88:$V88))-1</f>
        <v>0</v>
      </c>
      <c r="CL88" s="234"/>
    </row>
    <row r="89" spans="1:90" ht="12.75" hidden="1" outlineLevel="1" x14ac:dyDescent="0.2">
      <c r="B89" s="404" t="str">
        <f t="shared" ca="1" si="450"/>
        <v>Пакет "Охват 1000К", 704х90</v>
      </c>
      <c r="C89" s="676" t="str">
        <f t="shared" ca="1" si="451"/>
        <v>Пакет</v>
      </c>
      <c r="D89" s="405">
        <f t="shared" ca="1" si="452"/>
        <v>270</v>
      </c>
      <c r="E89" s="405">
        <f t="shared" ca="1" si="453"/>
        <v>270</v>
      </c>
      <c r="F89" s="405">
        <f t="shared" ca="1" si="454"/>
        <v>270</v>
      </c>
      <c r="G89" s="406">
        <f t="shared" ca="1" si="455"/>
        <v>270000</v>
      </c>
      <c r="H89" s="406">
        <f t="shared" ca="1" si="456"/>
        <v>270000</v>
      </c>
      <c r="I89" s="406">
        <f t="shared" ca="1" si="457"/>
        <v>0</v>
      </c>
      <c r="J89" s="407">
        <f t="shared" ca="1" si="458"/>
        <v>0</v>
      </c>
      <c r="K89" s="423"/>
      <c r="L89" s="424"/>
      <c r="M89" s="424"/>
      <c r="N89" s="424"/>
      <c r="O89" s="424"/>
      <c r="P89" s="424"/>
      <c r="Q89" s="424"/>
      <c r="R89" s="424"/>
      <c r="S89" s="424"/>
      <c r="T89" s="424"/>
      <c r="U89" s="424"/>
      <c r="V89" s="425"/>
      <c r="W89" s="406">
        <f t="shared" ca="1" si="1"/>
        <v>0</v>
      </c>
      <c r="X89" s="406"/>
      <c r="Y89" s="411"/>
      <c r="Z89" s="412">
        <f t="shared" si="496"/>
        <v>0</v>
      </c>
      <c r="AA89" s="685"/>
      <c r="AB89" s="685"/>
      <c r="AC89" s="685"/>
      <c r="AD89" s="685"/>
      <c r="AE89" s="685"/>
      <c r="AF89" s="685"/>
      <c r="AG89" s="685"/>
      <c r="AH89" s="685"/>
      <c r="AI89" s="685"/>
      <c r="AJ89" s="685"/>
      <c r="AK89" s="685"/>
      <c r="AL89" s="685"/>
      <c r="AM89" s="686"/>
      <c r="AN89" s="351" t="s">
        <v>127</v>
      </c>
      <c r="AO89" s="351" t="str">
        <f t="shared" si="2"/>
        <v>Afisha.ru</v>
      </c>
      <c r="AP89" s="115">
        <f t="shared" si="409"/>
        <v>19</v>
      </c>
      <c r="AQ89" s="31">
        <f t="shared" ca="1" si="460"/>
        <v>0.25</v>
      </c>
      <c r="AR89" s="31">
        <f t="shared" ca="1" si="460"/>
        <v>0.15</v>
      </c>
      <c r="AS89" s="35">
        <v>0</v>
      </c>
      <c r="AT89" s="229">
        <v>0</v>
      </c>
      <c r="AU89" s="344">
        <f t="shared" ca="1" si="461"/>
        <v>270</v>
      </c>
      <c r="AV89" s="345">
        <f t="shared" ca="1" si="462"/>
        <v>270</v>
      </c>
      <c r="AW89" s="346">
        <f t="shared" ca="1" si="463"/>
        <v>270</v>
      </c>
      <c r="AX89" s="280"/>
      <c r="AY89" s="280"/>
      <c r="AZ89" s="347">
        <f t="shared" ca="1" si="464"/>
        <v>270000</v>
      </c>
      <c r="BA89" s="348">
        <f t="shared" ca="1" si="465"/>
        <v>270000</v>
      </c>
      <c r="BB89" s="347">
        <f t="shared" ca="1" si="466"/>
        <v>1000</v>
      </c>
      <c r="BC89" s="37" t="str">
        <f t="shared" ca="1" si="466"/>
        <v>Пакет</v>
      </c>
      <c r="BD89" s="229" t="str">
        <f t="shared" ca="1" si="467"/>
        <v>Пакет</v>
      </c>
      <c r="BE89" s="283">
        <f t="shared" ca="1" si="4"/>
        <v>0</v>
      </c>
      <c r="BF89" s="347">
        <f t="array" aca="1" ref="BF89" ca="1">SUM($K89:$V89*$BK89:$BV89)*$AZ89</f>
        <v>0</v>
      </c>
      <c r="BG89" s="347">
        <f t="array" aca="1" ref="BG89" ca="1">SUM($K89:$V89*$BY89:$CJ89*$BK89:$BV89)*$AZ89*$BX89</f>
        <v>0</v>
      </c>
      <c r="BH89" s="347">
        <f t="array" aca="1" ref="BH89" ca="1">SUM($K89:$V89*$BY89:$CJ89*$BK89:$BV89)*(1-$BE89)*$AZ89*$BX89</f>
        <v>0</v>
      </c>
      <c r="BI89" s="350">
        <f t="shared" ca="1" si="468"/>
        <v>0</v>
      </c>
      <c r="BJ89" s="275" t="str">
        <f t="shared" ca="1" si="469"/>
        <v>Да</v>
      </c>
      <c r="BK89" s="116">
        <f t="shared" ca="1" si="470"/>
        <v>0.8</v>
      </c>
      <c r="BL89" s="117">
        <f t="shared" ca="1" si="470"/>
        <v>0.9</v>
      </c>
      <c r="BM89" s="117">
        <f t="shared" ca="1" si="470"/>
        <v>1</v>
      </c>
      <c r="BN89" s="117">
        <f t="shared" ca="1" si="470"/>
        <v>1</v>
      </c>
      <c r="BO89" s="117">
        <f t="shared" ca="1" si="470"/>
        <v>1</v>
      </c>
      <c r="BP89" s="117">
        <f t="shared" ca="1" si="470"/>
        <v>1</v>
      </c>
      <c r="BQ89" s="117">
        <f t="shared" ca="1" si="470"/>
        <v>0.9</v>
      </c>
      <c r="BR89" s="117">
        <f t="shared" ca="1" si="470"/>
        <v>0.9</v>
      </c>
      <c r="BS89" s="117">
        <f t="shared" ca="1" si="470"/>
        <v>1.3</v>
      </c>
      <c r="BT89" s="117">
        <f t="shared" ca="1" si="470"/>
        <v>1.3</v>
      </c>
      <c r="BU89" s="117">
        <f t="shared" ca="1" si="470"/>
        <v>1.3</v>
      </c>
      <c r="BV89" s="278">
        <f t="shared" ca="1" si="470"/>
        <v>1.3</v>
      </c>
      <c r="BW89" s="280">
        <f t="shared" si="6"/>
        <v>8</v>
      </c>
      <c r="BX89" s="118">
        <f>IF($AN89="Ya",100%,100%+extraDelayZ)</f>
        <v>1</v>
      </c>
      <c r="BY89" s="263">
        <f t="shared" si="497"/>
        <v>1</v>
      </c>
      <c r="BZ89" s="264">
        <f t="shared" si="498"/>
        <v>1</v>
      </c>
      <c r="CA89" s="264">
        <f t="shared" si="499"/>
        <v>1</v>
      </c>
      <c r="CB89" s="264">
        <f t="shared" si="500"/>
        <v>1</v>
      </c>
      <c r="CC89" s="264">
        <f t="shared" si="501"/>
        <v>1</v>
      </c>
      <c r="CD89" s="264">
        <f t="shared" si="502"/>
        <v>1</v>
      </c>
      <c r="CE89" s="264">
        <f t="shared" si="503"/>
        <v>1</v>
      </c>
      <c r="CF89" s="264">
        <f t="shared" si="504"/>
        <v>1</v>
      </c>
      <c r="CG89" s="264">
        <f t="shared" si="505"/>
        <v>1</v>
      </c>
      <c r="CH89" s="264">
        <f t="shared" si="506"/>
        <v>1</v>
      </c>
      <c r="CI89" s="264">
        <f t="shared" si="507"/>
        <v>1</v>
      </c>
      <c r="CJ89" s="265">
        <f t="shared" si="508"/>
        <v>1</v>
      </c>
      <c r="CK89" s="269">
        <f t="array" ref="CK89">IF(ISERROR(SUM($K89:$V89*$BY89:$CJ89)/SUM($K89:$V89)),1,SUM($K89:$V89*$BY89:$CJ89)/SUM($K89:$V89))-1</f>
        <v>0</v>
      </c>
      <c r="CL89" s="234"/>
    </row>
    <row r="90" spans="1:90" ht="12.75" hidden="1" outlineLevel="1" x14ac:dyDescent="0.2">
      <c r="B90" s="404" t="str">
        <f t="shared" ca="1" si="450"/>
        <v>Пакет "Охват 2000К", 704х90</v>
      </c>
      <c r="C90" s="676" t="str">
        <f t="shared" ca="1" si="451"/>
        <v>Пакет</v>
      </c>
      <c r="D90" s="405">
        <f t="shared" ca="1" si="452"/>
        <v>200</v>
      </c>
      <c r="E90" s="405">
        <f t="shared" ca="1" si="453"/>
        <v>200</v>
      </c>
      <c r="F90" s="405">
        <f t="shared" ca="1" si="454"/>
        <v>200</v>
      </c>
      <c r="G90" s="406">
        <f t="shared" ca="1" si="455"/>
        <v>400000</v>
      </c>
      <c r="H90" s="406">
        <f t="shared" ca="1" si="456"/>
        <v>400000</v>
      </c>
      <c r="I90" s="406">
        <f t="shared" ca="1" si="457"/>
        <v>0</v>
      </c>
      <c r="J90" s="407">
        <f t="shared" ca="1" si="458"/>
        <v>0</v>
      </c>
      <c r="K90" s="423"/>
      <c r="L90" s="424"/>
      <c r="M90" s="424"/>
      <c r="N90" s="424"/>
      <c r="O90" s="424"/>
      <c r="P90" s="424"/>
      <c r="Q90" s="424"/>
      <c r="R90" s="424"/>
      <c r="S90" s="424"/>
      <c r="T90" s="424"/>
      <c r="U90" s="424"/>
      <c r="V90" s="425"/>
      <c r="W90" s="406">
        <f t="shared" ca="1" si="1"/>
        <v>0</v>
      </c>
      <c r="X90" s="406"/>
      <c r="Y90" s="411"/>
      <c r="Z90" s="412">
        <f t="shared" ref="Z90:Z100" si="509">CK90</f>
        <v>0</v>
      </c>
      <c r="AA90" s="685"/>
      <c r="AB90" s="685"/>
      <c r="AC90" s="685"/>
      <c r="AD90" s="685"/>
      <c r="AE90" s="685"/>
      <c r="AF90" s="685"/>
      <c r="AG90" s="685"/>
      <c r="AH90" s="685"/>
      <c r="AI90" s="685"/>
      <c r="AJ90" s="685"/>
      <c r="AK90" s="685"/>
      <c r="AL90" s="685"/>
      <c r="AM90" s="686"/>
      <c r="AN90" s="351" t="s">
        <v>127</v>
      </c>
      <c r="AO90" s="351" t="str">
        <f t="shared" si="2"/>
        <v>Afisha.ru</v>
      </c>
      <c r="AP90" s="115">
        <f t="shared" si="409"/>
        <v>19</v>
      </c>
      <c r="AQ90" s="31">
        <f t="shared" ca="1" si="460"/>
        <v>0.25</v>
      </c>
      <c r="AR90" s="31">
        <f t="shared" ca="1" si="460"/>
        <v>0.15</v>
      </c>
      <c r="AS90" s="35">
        <v>0</v>
      </c>
      <c r="AT90" s="229">
        <v>0</v>
      </c>
      <c r="AU90" s="344">
        <f t="shared" ca="1" si="461"/>
        <v>200</v>
      </c>
      <c r="AV90" s="345">
        <f t="shared" ca="1" si="462"/>
        <v>200</v>
      </c>
      <c r="AW90" s="346">
        <f t="shared" ca="1" si="463"/>
        <v>200</v>
      </c>
      <c r="AX90" s="280"/>
      <c r="AY90" s="280"/>
      <c r="AZ90" s="347">
        <f t="shared" ca="1" si="464"/>
        <v>400000</v>
      </c>
      <c r="BA90" s="348">
        <f t="shared" ca="1" si="465"/>
        <v>400000</v>
      </c>
      <c r="BB90" s="347">
        <f t="shared" ca="1" si="466"/>
        <v>2000</v>
      </c>
      <c r="BC90" s="37" t="str">
        <f t="shared" ca="1" si="466"/>
        <v>Пакет</v>
      </c>
      <c r="BD90" s="229" t="str">
        <f t="shared" ca="1" si="467"/>
        <v>Пакет</v>
      </c>
      <c r="BE90" s="283">
        <f t="shared" ca="1" si="4"/>
        <v>0</v>
      </c>
      <c r="BF90" s="347">
        <f t="array" aca="1" ref="BF90" ca="1">SUM($K90:$V90*$BK90:$BV90)*$AZ90</f>
        <v>0</v>
      </c>
      <c r="BG90" s="347">
        <f t="array" aca="1" ref="BG90" ca="1">SUM($K90:$V90*$BY90:$CJ90*$BK90:$BV90)*$AZ90*$BX90</f>
        <v>0</v>
      </c>
      <c r="BH90" s="347">
        <f t="array" aca="1" ref="BH90" ca="1">SUM($K90:$V90*$BY90:$CJ90*$BK90:$BV90)*(1-$BE90)*$AZ90*$BX90</f>
        <v>0</v>
      </c>
      <c r="BI90" s="350">
        <f t="shared" ca="1" si="468"/>
        <v>0</v>
      </c>
      <c r="BJ90" s="275" t="str">
        <f t="shared" ca="1" si="469"/>
        <v>Да</v>
      </c>
      <c r="BK90" s="116">
        <f t="shared" ca="1" si="470"/>
        <v>0.8</v>
      </c>
      <c r="BL90" s="117">
        <f t="shared" ca="1" si="470"/>
        <v>0.9</v>
      </c>
      <c r="BM90" s="117">
        <f t="shared" ca="1" si="470"/>
        <v>1</v>
      </c>
      <c r="BN90" s="117">
        <f t="shared" ca="1" si="470"/>
        <v>1</v>
      </c>
      <c r="BO90" s="117">
        <f t="shared" ca="1" si="470"/>
        <v>1</v>
      </c>
      <c r="BP90" s="117">
        <f t="shared" ca="1" si="470"/>
        <v>1</v>
      </c>
      <c r="BQ90" s="117">
        <f t="shared" ca="1" si="470"/>
        <v>0.9</v>
      </c>
      <c r="BR90" s="117">
        <f t="shared" ca="1" si="470"/>
        <v>0.9</v>
      </c>
      <c r="BS90" s="117">
        <f t="shared" ca="1" si="470"/>
        <v>1.3</v>
      </c>
      <c r="BT90" s="117">
        <f t="shared" ca="1" si="470"/>
        <v>1.3</v>
      </c>
      <c r="BU90" s="117">
        <f t="shared" ca="1" si="470"/>
        <v>1.3</v>
      </c>
      <c r="BV90" s="278">
        <f t="shared" ca="1" si="470"/>
        <v>1.3</v>
      </c>
      <c r="BW90" s="280">
        <f t="shared" si="6"/>
        <v>9</v>
      </c>
      <c r="BX90" s="118">
        <f>IF($AN90="Ya",100%,100%+extraDelayZ)</f>
        <v>1</v>
      </c>
      <c r="BY90" s="263">
        <f t="shared" ref="BY90:BY100" si="510">(1+AA90)</f>
        <v>1</v>
      </c>
      <c r="BZ90" s="264">
        <f t="shared" ref="BZ90:BZ100" si="511">(1+AB90)</f>
        <v>1</v>
      </c>
      <c r="CA90" s="264">
        <f t="shared" ref="CA90:CA100" si="512">(1+AC90)</f>
        <v>1</v>
      </c>
      <c r="CB90" s="264">
        <f t="shared" ref="CB90:CB100" si="513">(1+AD90)</f>
        <v>1</v>
      </c>
      <c r="CC90" s="264">
        <f t="shared" ref="CC90:CC100" si="514">(1+AE90)</f>
        <v>1</v>
      </c>
      <c r="CD90" s="264">
        <f t="shared" ref="CD90:CD100" si="515">(1+AF90)</f>
        <v>1</v>
      </c>
      <c r="CE90" s="264">
        <f t="shared" ref="CE90:CE100" si="516">(1+AG90)</f>
        <v>1</v>
      </c>
      <c r="CF90" s="264">
        <f t="shared" ref="CF90:CF100" si="517">(1+AH90)</f>
        <v>1</v>
      </c>
      <c r="CG90" s="264">
        <f t="shared" ref="CG90:CG100" si="518">(1+AI90)</f>
        <v>1</v>
      </c>
      <c r="CH90" s="264">
        <f t="shared" ref="CH90:CH100" si="519">(1+AJ90)</f>
        <v>1</v>
      </c>
      <c r="CI90" s="264">
        <f t="shared" ref="CI90:CI100" si="520">(1+AK90)</f>
        <v>1</v>
      </c>
      <c r="CJ90" s="265">
        <f t="shared" ref="CJ90:CJ100" si="521">(1+AL90)</f>
        <v>1</v>
      </c>
      <c r="CK90" s="269">
        <f t="array" ref="CK90">IF(ISERROR(SUM($K90:$V90*$BY90:$CJ90)/SUM($K90:$V90)),1,SUM($K90:$V90*$BY90:$CJ90)/SUM($K90:$V90))-1</f>
        <v>0</v>
      </c>
      <c r="CL90" s="234"/>
    </row>
    <row r="91" spans="1:90" ht="12.75" hidden="1" outlineLevel="1" x14ac:dyDescent="0.2">
      <c r="B91" s="404" t="str">
        <f t="shared" ca="1" si="450"/>
        <v>Пакет "Москва", 704х90</v>
      </c>
      <c r="C91" s="676" t="str">
        <f t="shared" ca="1" si="451"/>
        <v>Пакет</v>
      </c>
      <c r="D91" s="405">
        <f t="shared" ca="1" si="452"/>
        <v>300</v>
      </c>
      <c r="E91" s="405">
        <f t="shared" ca="1" si="453"/>
        <v>300</v>
      </c>
      <c r="F91" s="405">
        <f t="shared" ca="1" si="454"/>
        <v>300</v>
      </c>
      <c r="G91" s="406">
        <f t="shared" ca="1" si="455"/>
        <v>210000</v>
      </c>
      <c r="H91" s="406">
        <f t="shared" ca="1" si="456"/>
        <v>210000</v>
      </c>
      <c r="I91" s="406">
        <f t="shared" ca="1" si="457"/>
        <v>0</v>
      </c>
      <c r="J91" s="407">
        <f t="shared" ca="1" si="458"/>
        <v>0</v>
      </c>
      <c r="K91" s="423"/>
      <c r="L91" s="424"/>
      <c r="M91" s="424"/>
      <c r="N91" s="424"/>
      <c r="O91" s="424"/>
      <c r="P91" s="424"/>
      <c r="Q91" s="424"/>
      <c r="R91" s="424"/>
      <c r="S91" s="424"/>
      <c r="T91" s="424"/>
      <c r="U91" s="424"/>
      <c r="V91" s="425"/>
      <c r="W91" s="406">
        <f t="shared" ca="1" si="1"/>
        <v>0</v>
      </c>
      <c r="X91" s="406"/>
      <c r="Y91" s="411"/>
      <c r="Z91" s="412">
        <f t="shared" ref="Z91" si="522">CK91</f>
        <v>0</v>
      </c>
      <c r="AA91" s="685"/>
      <c r="AB91" s="685"/>
      <c r="AC91" s="685"/>
      <c r="AD91" s="685"/>
      <c r="AE91" s="685"/>
      <c r="AF91" s="685"/>
      <c r="AG91" s="685"/>
      <c r="AH91" s="685"/>
      <c r="AI91" s="685"/>
      <c r="AJ91" s="685"/>
      <c r="AK91" s="685"/>
      <c r="AL91" s="685"/>
      <c r="AM91" s="686"/>
      <c r="AN91" s="351" t="s">
        <v>127</v>
      </c>
      <c r="AO91" s="351" t="str">
        <f t="shared" si="2"/>
        <v>Afisha.ru</v>
      </c>
      <c r="AP91" s="115">
        <f t="shared" si="409"/>
        <v>19</v>
      </c>
      <c r="AQ91" s="31" t="str">
        <f t="shared" ca="1" si="460"/>
        <v>Вкл.</v>
      </c>
      <c r="AR91" s="31">
        <f t="shared" ca="1" si="460"/>
        <v>0.15</v>
      </c>
      <c r="AS91" s="35">
        <v>0</v>
      </c>
      <c r="AT91" s="229">
        <v>0</v>
      </c>
      <c r="AU91" s="344">
        <f t="shared" ca="1" si="461"/>
        <v>300</v>
      </c>
      <c r="AV91" s="345">
        <f t="shared" ca="1" si="462"/>
        <v>300</v>
      </c>
      <c r="AW91" s="346">
        <f t="shared" ca="1" si="463"/>
        <v>300</v>
      </c>
      <c r="AX91" s="280"/>
      <c r="AY91" s="280"/>
      <c r="AZ91" s="347">
        <f t="shared" ca="1" si="464"/>
        <v>210000</v>
      </c>
      <c r="BA91" s="348">
        <f t="shared" ca="1" si="465"/>
        <v>210000</v>
      </c>
      <c r="BB91" s="347">
        <f t="shared" ca="1" si="466"/>
        <v>700</v>
      </c>
      <c r="BC91" s="37" t="str">
        <f t="shared" ca="1" si="466"/>
        <v>Пакет</v>
      </c>
      <c r="BD91" s="229" t="str">
        <f t="shared" ca="1" si="467"/>
        <v>Пакет</v>
      </c>
      <c r="BE91" s="283">
        <f t="shared" ca="1" si="4"/>
        <v>0</v>
      </c>
      <c r="BF91" s="347">
        <f t="array" aca="1" ref="BF91" ca="1">SUM($K91:$V91*$BK91:$BV91)*$AZ91</f>
        <v>0</v>
      </c>
      <c r="BG91" s="347">
        <f t="array" aca="1" ref="BG91" ca="1">SUM($K91:$V91*$BY91:$CJ91*$BK91:$BV91)*$AZ91*$BX91</f>
        <v>0</v>
      </c>
      <c r="BH91" s="347">
        <f t="array" aca="1" ref="BH91" ca="1">SUM($K91:$V91*$BY91:$CJ91*$BK91:$BV91)*(1-$BE91)*$AZ91*$BX91</f>
        <v>0</v>
      </c>
      <c r="BI91" s="350">
        <f t="shared" ca="1" si="468"/>
        <v>0</v>
      </c>
      <c r="BJ91" s="275" t="str">
        <f t="shared" ca="1" si="469"/>
        <v>Да</v>
      </c>
      <c r="BK91" s="116">
        <f t="shared" ca="1" si="470"/>
        <v>0.8</v>
      </c>
      <c r="BL91" s="117">
        <f t="shared" ca="1" si="470"/>
        <v>0.9</v>
      </c>
      <c r="BM91" s="117">
        <f t="shared" ca="1" si="470"/>
        <v>1</v>
      </c>
      <c r="BN91" s="117">
        <f t="shared" ca="1" si="470"/>
        <v>1</v>
      </c>
      <c r="BO91" s="117">
        <f t="shared" ca="1" si="470"/>
        <v>1</v>
      </c>
      <c r="BP91" s="117">
        <f t="shared" ca="1" si="470"/>
        <v>1</v>
      </c>
      <c r="BQ91" s="117">
        <f t="shared" ca="1" si="470"/>
        <v>0.9</v>
      </c>
      <c r="BR91" s="117">
        <f t="shared" ca="1" si="470"/>
        <v>0.9</v>
      </c>
      <c r="BS91" s="117">
        <f t="shared" ca="1" si="470"/>
        <v>1.3</v>
      </c>
      <c r="BT91" s="117">
        <f t="shared" ca="1" si="470"/>
        <v>1.3</v>
      </c>
      <c r="BU91" s="117">
        <f t="shared" ca="1" si="470"/>
        <v>1.3</v>
      </c>
      <c r="BV91" s="278">
        <f t="shared" ca="1" si="470"/>
        <v>1.3</v>
      </c>
      <c r="BW91" s="280">
        <f t="shared" si="6"/>
        <v>10</v>
      </c>
      <c r="BX91" s="118">
        <f>IF($AN91="Ya",100%,100%+extraDelayZ)</f>
        <v>1</v>
      </c>
      <c r="BY91" s="263">
        <f t="shared" ref="BY91" si="523">(1+AA91)</f>
        <v>1</v>
      </c>
      <c r="BZ91" s="264">
        <f t="shared" ref="BZ91" si="524">(1+AB91)</f>
        <v>1</v>
      </c>
      <c r="CA91" s="264">
        <f t="shared" ref="CA91" si="525">(1+AC91)</f>
        <v>1</v>
      </c>
      <c r="CB91" s="264">
        <f t="shared" ref="CB91" si="526">(1+AD91)</f>
        <v>1</v>
      </c>
      <c r="CC91" s="264">
        <f t="shared" ref="CC91" si="527">(1+AE91)</f>
        <v>1</v>
      </c>
      <c r="CD91" s="264">
        <f t="shared" ref="CD91" si="528">(1+AF91)</f>
        <v>1</v>
      </c>
      <c r="CE91" s="264">
        <f t="shared" ref="CE91" si="529">(1+AG91)</f>
        <v>1</v>
      </c>
      <c r="CF91" s="264">
        <f t="shared" ref="CF91" si="530">(1+AH91)</f>
        <v>1</v>
      </c>
      <c r="CG91" s="264">
        <f t="shared" ref="CG91" si="531">(1+AI91)</f>
        <v>1</v>
      </c>
      <c r="CH91" s="264">
        <f t="shared" ref="CH91" si="532">(1+AJ91)</f>
        <v>1</v>
      </c>
      <c r="CI91" s="264">
        <f t="shared" ref="CI91" si="533">(1+AK91)</f>
        <v>1</v>
      </c>
      <c r="CJ91" s="265">
        <f t="shared" ref="CJ91" si="534">(1+AL91)</f>
        <v>1</v>
      </c>
      <c r="CK91" s="269">
        <f t="array" ref="CK91">IF(ISERROR(SUM($K91:$V91*$BY91:$CJ91)/SUM($K91:$V91)),1,SUM($K91:$V91*$BY91:$CJ91)/SUM($K91:$V91))-1</f>
        <v>0</v>
      </c>
      <c r="CL91" s="234"/>
    </row>
    <row r="92" spans="1:90" ht="12.75" hidden="1" outlineLevel="1" x14ac:dyDescent="0.2">
      <c r="B92" s="404" t="str">
        <f t="shared" ca="1" si="450"/>
        <v>Пакет "Питер", 704х90</v>
      </c>
      <c r="C92" s="676" t="str">
        <f t="shared" ca="1" si="451"/>
        <v>Пакет</v>
      </c>
      <c r="D92" s="405">
        <f t="shared" ca="1" si="452"/>
        <v>300</v>
      </c>
      <c r="E92" s="405">
        <f t="shared" ca="1" si="453"/>
        <v>300</v>
      </c>
      <c r="F92" s="405">
        <f t="shared" ca="1" si="454"/>
        <v>300</v>
      </c>
      <c r="G92" s="406">
        <f t="shared" ca="1" si="455"/>
        <v>75000</v>
      </c>
      <c r="H92" s="406">
        <f t="shared" ca="1" si="456"/>
        <v>75000</v>
      </c>
      <c r="I92" s="406">
        <f t="shared" ca="1" si="457"/>
        <v>0</v>
      </c>
      <c r="J92" s="407">
        <f t="shared" ca="1" si="458"/>
        <v>0</v>
      </c>
      <c r="K92" s="423"/>
      <c r="L92" s="424"/>
      <c r="M92" s="424"/>
      <c r="N92" s="424"/>
      <c r="O92" s="424"/>
      <c r="P92" s="424"/>
      <c r="Q92" s="424"/>
      <c r="R92" s="424"/>
      <c r="S92" s="424"/>
      <c r="T92" s="424"/>
      <c r="U92" s="424"/>
      <c r="V92" s="425"/>
      <c r="W92" s="406">
        <f t="shared" ca="1" si="1"/>
        <v>0</v>
      </c>
      <c r="X92" s="406"/>
      <c r="Y92" s="411"/>
      <c r="Z92" s="412">
        <f t="shared" ref="Z92" si="535">CK92</f>
        <v>0</v>
      </c>
      <c r="AA92" s="685"/>
      <c r="AB92" s="685"/>
      <c r="AC92" s="685"/>
      <c r="AD92" s="685"/>
      <c r="AE92" s="685"/>
      <c r="AF92" s="685"/>
      <c r="AG92" s="685"/>
      <c r="AH92" s="685"/>
      <c r="AI92" s="685"/>
      <c r="AJ92" s="685"/>
      <c r="AK92" s="685"/>
      <c r="AL92" s="685"/>
      <c r="AM92" s="686"/>
      <c r="AN92" s="351" t="s">
        <v>127</v>
      </c>
      <c r="AO92" s="351" t="str">
        <f t="shared" si="2"/>
        <v>Afisha.ru</v>
      </c>
      <c r="AP92" s="115">
        <f t="shared" si="409"/>
        <v>19</v>
      </c>
      <c r="AQ92" s="31" t="str">
        <f t="shared" ca="1" si="460"/>
        <v>Вкл.</v>
      </c>
      <c r="AR92" s="31">
        <f t="shared" ca="1" si="460"/>
        <v>0.15</v>
      </c>
      <c r="AS92" s="35">
        <v>0</v>
      </c>
      <c r="AT92" s="229">
        <v>0</v>
      </c>
      <c r="AU92" s="344">
        <f t="shared" ca="1" si="461"/>
        <v>300</v>
      </c>
      <c r="AV92" s="345">
        <f t="shared" ca="1" si="462"/>
        <v>300</v>
      </c>
      <c r="AW92" s="346">
        <f t="shared" ca="1" si="463"/>
        <v>300</v>
      </c>
      <c r="AX92" s="280"/>
      <c r="AY92" s="280"/>
      <c r="AZ92" s="347">
        <f t="shared" ca="1" si="464"/>
        <v>75000</v>
      </c>
      <c r="BA92" s="348">
        <f t="shared" ca="1" si="465"/>
        <v>75000</v>
      </c>
      <c r="BB92" s="347">
        <f t="shared" ca="1" si="466"/>
        <v>250</v>
      </c>
      <c r="BC92" s="37" t="str">
        <f t="shared" ca="1" si="466"/>
        <v>Пакет</v>
      </c>
      <c r="BD92" s="229" t="str">
        <f t="shared" ca="1" si="467"/>
        <v>Пакет</v>
      </c>
      <c r="BE92" s="283">
        <f t="shared" ca="1" si="4"/>
        <v>0</v>
      </c>
      <c r="BF92" s="347">
        <f t="array" aca="1" ref="BF92" ca="1">SUM($K92:$V92*$BK92:$BV92)*$AZ92</f>
        <v>0</v>
      </c>
      <c r="BG92" s="347">
        <f t="array" aca="1" ref="BG92" ca="1">SUM($K92:$V92*$BY92:$CJ92*$BK92:$BV92)*$AZ92*$BX92</f>
        <v>0</v>
      </c>
      <c r="BH92" s="347">
        <f t="array" aca="1" ref="BH92" ca="1">SUM($K92:$V92*$BY92:$CJ92*$BK92:$BV92)*(1-$BE92)*$AZ92*$BX92</f>
        <v>0</v>
      </c>
      <c r="BI92" s="350">
        <f t="shared" ca="1" si="468"/>
        <v>0</v>
      </c>
      <c r="BJ92" s="275" t="str">
        <f t="shared" ca="1" si="469"/>
        <v>Да</v>
      </c>
      <c r="BK92" s="116">
        <f t="shared" ca="1" si="470"/>
        <v>0.8</v>
      </c>
      <c r="BL92" s="117">
        <f t="shared" ca="1" si="470"/>
        <v>0.9</v>
      </c>
      <c r="BM92" s="117">
        <f t="shared" ca="1" si="470"/>
        <v>1</v>
      </c>
      <c r="BN92" s="117">
        <f t="shared" ca="1" si="470"/>
        <v>1</v>
      </c>
      <c r="BO92" s="117">
        <f t="shared" ca="1" si="470"/>
        <v>1</v>
      </c>
      <c r="BP92" s="117">
        <f t="shared" ca="1" si="470"/>
        <v>1</v>
      </c>
      <c r="BQ92" s="117">
        <f t="shared" ca="1" si="470"/>
        <v>0.9</v>
      </c>
      <c r="BR92" s="117">
        <f t="shared" ca="1" si="470"/>
        <v>0.9</v>
      </c>
      <c r="BS92" s="117">
        <f t="shared" ca="1" si="470"/>
        <v>1.3</v>
      </c>
      <c r="BT92" s="117">
        <f t="shared" ca="1" si="470"/>
        <v>1.3</v>
      </c>
      <c r="BU92" s="117">
        <f t="shared" ca="1" si="470"/>
        <v>1.3</v>
      </c>
      <c r="BV92" s="278">
        <f t="shared" ca="1" si="470"/>
        <v>1.3</v>
      </c>
      <c r="BW92" s="280">
        <f t="shared" si="6"/>
        <v>11</v>
      </c>
      <c r="BX92" s="118">
        <f>IF($AN92="Ya",100%,100%+extraDelayZ)</f>
        <v>1</v>
      </c>
      <c r="BY92" s="263">
        <f t="shared" ref="BY92" si="536">(1+AA92)</f>
        <v>1</v>
      </c>
      <c r="BZ92" s="264">
        <f t="shared" ref="BZ92" si="537">(1+AB92)</f>
        <v>1</v>
      </c>
      <c r="CA92" s="264">
        <f t="shared" ref="CA92" si="538">(1+AC92)</f>
        <v>1</v>
      </c>
      <c r="CB92" s="264">
        <f t="shared" ref="CB92" si="539">(1+AD92)</f>
        <v>1</v>
      </c>
      <c r="CC92" s="264">
        <f t="shared" ref="CC92" si="540">(1+AE92)</f>
        <v>1</v>
      </c>
      <c r="CD92" s="264">
        <f t="shared" ref="CD92" si="541">(1+AF92)</f>
        <v>1</v>
      </c>
      <c r="CE92" s="264">
        <f t="shared" ref="CE92" si="542">(1+AG92)</f>
        <v>1</v>
      </c>
      <c r="CF92" s="264">
        <f t="shared" ref="CF92" si="543">(1+AH92)</f>
        <v>1</v>
      </c>
      <c r="CG92" s="264">
        <f t="shared" ref="CG92" si="544">(1+AI92)</f>
        <v>1</v>
      </c>
      <c r="CH92" s="264">
        <f t="shared" ref="CH92" si="545">(1+AJ92)</f>
        <v>1</v>
      </c>
      <c r="CI92" s="264">
        <f t="shared" ref="CI92" si="546">(1+AK92)</f>
        <v>1</v>
      </c>
      <c r="CJ92" s="265">
        <f t="shared" ref="CJ92" si="547">(1+AL92)</f>
        <v>1</v>
      </c>
      <c r="CK92" s="269">
        <f t="array" ref="CK92">IF(ISERROR(SUM($K92:$V92*$BY92:$CJ92)/SUM($K92:$V92)),1,SUM($K92:$V92*$BY92:$CJ92)/SUM($K92:$V92))-1</f>
        <v>0</v>
      </c>
      <c r="CL92" s="234"/>
    </row>
    <row r="93" spans="1:90" ht="12.75" hidden="1" outlineLevel="1" x14ac:dyDescent="0.2">
      <c r="B93" s="404" t="str">
        <f t="shared" ca="1" si="450"/>
        <v>Пакет "Nightparty", 704х90</v>
      </c>
      <c r="C93" s="676" t="str">
        <f t="shared" ca="1" si="451"/>
        <v>Пакет</v>
      </c>
      <c r="D93" s="405">
        <f t="shared" ca="1" si="452"/>
        <v>150</v>
      </c>
      <c r="E93" s="405">
        <f t="shared" ca="1" si="453"/>
        <v>150</v>
      </c>
      <c r="F93" s="405">
        <f t="shared" ca="1" si="454"/>
        <v>150</v>
      </c>
      <c r="G93" s="406">
        <f t="shared" ca="1" si="455"/>
        <v>90000</v>
      </c>
      <c r="H93" s="406">
        <f t="shared" ca="1" si="456"/>
        <v>90000</v>
      </c>
      <c r="I93" s="406">
        <f t="shared" ca="1" si="457"/>
        <v>0</v>
      </c>
      <c r="J93" s="407">
        <f t="shared" ca="1" si="458"/>
        <v>0</v>
      </c>
      <c r="K93" s="423"/>
      <c r="L93" s="424"/>
      <c r="M93" s="424"/>
      <c r="N93" s="424"/>
      <c r="O93" s="424"/>
      <c r="P93" s="424"/>
      <c r="Q93" s="424"/>
      <c r="R93" s="424"/>
      <c r="S93" s="424"/>
      <c r="T93" s="424"/>
      <c r="U93" s="424"/>
      <c r="V93" s="425"/>
      <c r="W93" s="406">
        <f t="shared" ca="1" si="1"/>
        <v>0</v>
      </c>
      <c r="X93" s="406"/>
      <c r="Y93" s="411"/>
      <c r="Z93" s="412">
        <f t="shared" si="509"/>
        <v>0</v>
      </c>
      <c r="AA93" s="685"/>
      <c r="AB93" s="685"/>
      <c r="AC93" s="685"/>
      <c r="AD93" s="685"/>
      <c r="AE93" s="685"/>
      <c r="AF93" s="685"/>
      <c r="AG93" s="685"/>
      <c r="AH93" s="685"/>
      <c r="AI93" s="685"/>
      <c r="AJ93" s="685"/>
      <c r="AK93" s="685"/>
      <c r="AL93" s="685"/>
      <c r="AM93" s="686"/>
      <c r="AN93" s="351" t="s">
        <v>127</v>
      </c>
      <c r="AO93" s="351" t="str">
        <f t="shared" si="2"/>
        <v>Afisha.ru</v>
      </c>
      <c r="AP93" s="115">
        <f t="shared" si="409"/>
        <v>19</v>
      </c>
      <c r="AQ93" s="31">
        <f t="shared" ca="1" si="460"/>
        <v>0.25</v>
      </c>
      <c r="AR93" s="31">
        <f t="shared" ca="1" si="460"/>
        <v>0.15</v>
      </c>
      <c r="AS93" s="35">
        <v>0</v>
      </c>
      <c r="AT93" s="229">
        <v>0</v>
      </c>
      <c r="AU93" s="344">
        <f t="shared" ca="1" si="461"/>
        <v>150</v>
      </c>
      <c r="AV93" s="345">
        <f t="shared" ca="1" si="462"/>
        <v>150</v>
      </c>
      <c r="AW93" s="346">
        <f t="shared" ca="1" si="463"/>
        <v>150</v>
      </c>
      <c r="AX93" s="280"/>
      <c r="AY93" s="280"/>
      <c r="AZ93" s="347">
        <f t="shared" ca="1" si="464"/>
        <v>90000</v>
      </c>
      <c r="BA93" s="348">
        <f t="shared" ca="1" si="465"/>
        <v>90000</v>
      </c>
      <c r="BB93" s="347">
        <f t="shared" ca="1" si="466"/>
        <v>600</v>
      </c>
      <c r="BC93" s="37" t="str">
        <f t="shared" ca="1" si="466"/>
        <v>Пакет</v>
      </c>
      <c r="BD93" s="229" t="str">
        <f t="shared" ca="1" si="467"/>
        <v>Пакет</v>
      </c>
      <c r="BE93" s="283">
        <f t="shared" ca="1" si="4"/>
        <v>0</v>
      </c>
      <c r="BF93" s="347">
        <f t="array" aca="1" ref="BF93" ca="1">SUM($K93:$V93*$BK93:$BV93)*$AZ93</f>
        <v>0</v>
      </c>
      <c r="BG93" s="347">
        <f t="array" aca="1" ref="BG93" ca="1">SUM($K93:$V93*$BY93:$CJ93*$BK93:$BV93)*$AZ93*$BX93</f>
        <v>0</v>
      </c>
      <c r="BH93" s="347">
        <f t="array" aca="1" ref="BH93" ca="1">SUM($K93:$V93*$BY93:$CJ93*$BK93:$BV93)*(1-$BE93)*$AZ93*$BX93</f>
        <v>0</v>
      </c>
      <c r="BI93" s="350">
        <f t="shared" ca="1" si="468"/>
        <v>0</v>
      </c>
      <c r="BJ93" s="275" t="str">
        <f t="shared" ca="1" si="469"/>
        <v>Да</v>
      </c>
      <c r="BK93" s="116">
        <f t="shared" ca="1" si="470"/>
        <v>0.8</v>
      </c>
      <c r="BL93" s="117">
        <f t="shared" ca="1" si="470"/>
        <v>0.9</v>
      </c>
      <c r="BM93" s="117">
        <f t="shared" ca="1" si="470"/>
        <v>1</v>
      </c>
      <c r="BN93" s="117">
        <f t="shared" ca="1" si="470"/>
        <v>1</v>
      </c>
      <c r="BO93" s="117">
        <f t="shared" ca="1" si="470"/>
        <v>1</v>
      </c>
      <c r="BP93" s="117">
        <f t="shared" ca="1" si="470"/>
        <v>1</v>
      </c>
      <c r="BQ93" s="117">
        <f t="shared" ca="1" si="470"/>
        <v>0.9</v>
      </c>
      <c r="BR93" s="117">
        <f t="shared" ca="1" si="470"/>
        <v>0.9</v>
      </c>
      <c r="BS93" s="117">
        <f t="shared" ca="1" si="470"/>
        <v>1.3</v>
      </c>
      <c r="BT93" s="117">
        <f t="shared" ca="1" si="470"/>
        <v>1.3</v>
      </c>
      <c r="BU93" s="117">
        <f t="shared" ca="1" si="470"/>
        <v>1.3</v>
      </c>
      <c r="BV93" s="278">
        <f t="shared" ca="1" si="470"/>
        <v>1.3</v>
      </c>
      <c r="BW93" s="280">
        <f t="shared" si="6"/>
        <v>12</v>
      </c>
      <c r="BX93" s="118">
        <f>IF($AN93="Ya",100%,100%+extraDelayZ)</f>
        <v>1</v>
      </c>
      <c r="BY93" s="263">
        <f t="shared" si="510"/>
        <v>1</v>
      </c>
      <c r="BZ93" s="264">
        <f t="shared" si="511"/>
        <v>1</v>
      </c>
      <c r="CA93" s="264">
        <f t="shared" si="512"/>
        <v>1</v>
      </c>
      <c r="CB93" s="264">
        <f t="shared" si="513"/>
        <v>1</v>
      </c>
      <c r="CC93" s="264">
        <f t="shared" si="514"/>
        <v>1</v>
      </c>
      <c r="CD93" s="264">
        <f t="shared" si="515"/>
        <v>1</v>
      </c>
      <c r="CE93" s="264">
        <f t="shared" si="516"/>
        <v>1</v>
      </c>
      <c r="CF93" s="264">
        <f t="shared" si="517"/>
        <v>1</v>
      </c>
      <c r="CG93" s="264">
        <f t="shared" si="518"/>
        <v>1</v>
      </c>
      <c r="CH93" s="264">
        <f t="shared" si="519"/>
        <v>1</v>
      </c>
      <c r="CI93" s="264">
        <f t="shared" si="520"/>
        <v>1</v>
      </c>
      <c r="CJ93" s="265">
        <f t="shared" si="521"/>
        <v>1</v>
      </c>
      <c r="CK93" s="269">
        <f t="array" ref="CK93">IF(ISERROR(SUM($K93:$V93*$BY93:$CJ93)/SUM($K93:$V93)),1,SUM($K93:$V93*$BY93:$CJ93)/SUM($K93:$V93))-1</f>
        <v>0</v>
      </c>
      <c r="CL93" s="234"/>
    </row>
    <row r="94" spans="1:90" ht="12.75" hidden="1" outlineLevel="1" x14ac:dyDescent="0.2">
      <c r="B94" s="404" t="str">
        <f t="shared" ca="1" si="450"/>
        <v>Nightparty.ru, динамика, 704х90</v>
      </c>
      <c r="C94" s="676" t="str">
        <f t="shared" ca="1" si="451"/>
        <v>х1000</v>
      </c>
      <c r="D94" s="405">
        <f t="shared" ca="1" si="452"/>
        <v>300</v>
      </c>
      <c r="E94" s="405">
        <f t="shared" ca="1" si="453"/>
        <v>300</v>
      </c>
      <c r="F94" s="405">
        <f t="shared" ca="1" si="454"/>
        <v>300</v>
      </c>
      <c r="G94" s="406">
        <f t="shared" ca="1" si="455"/>
        <v>300</v>
      </c>
      <c r="H94" s="406">
        <f t="shared" ca="1" si="456"/>
        <v>300</v>
      </c>
      <c r="I94" s="406">
        <f t="shared" ca="1" si="457"/>
        <v>0</v>
      </c>
      <c r="J94" s="407">
        <f t="shared" ca="1" si="458"/>
        <v>0</v>
      </c>
      <c r="K94" s="423"/>
      <c r="L94" s="424"/>
      <c r="M94" s="424"/>
      <c r="N94" s="424"/>
      <c r="O94" s="424"/>
      <c r="P94" s="424"/>
      <c r="Q94" s="424"/>
      <c r="R94" s="424"/>
      <c r="S94" s="424"/>
      <c r="T94" s="424"/>
      <c r="U94" s="424"/>
      <c r="V94" s="425"/>
      <c r="W94" s="406">
        <f t="shared" ca="1" si="1"/>
        <v>0</v>
      </c>
      <c r="X94" s="406"/>
      <c r="Y94" s="411"/>
      <c r="Z94" s="412">
        <f t="shared" ref="Z94" si="548">CK94</f>
        <v>0</v>
      </c>
      <c r="AA94" s="685"/>
      <c r="AB94" s="685"/>
      <c r="AC94" s="685"/>
      <c r="AD94" s="685"/>
      <c r="AE94" s="685"/>
      <c r="AF94" s="685"/>
      <c r="AG94" s="685"/>
      <c r="AH94" s="685"/>
      <c r="AI94" s="685"/>
      <c r="AJ94" s="685"/>
      <c r="AK94" s="685"/>
      <c r="AL94" s="685"/>
      <c r="AM94" s="686"/>
      <c r="AN94" s="351" t="s">
        <v>127</v>
      </c>
      <c r="AO94" s="351" t="str">
        <f t="shared" si="2"/>
        <v>Afisha.ru</v>
      </c>
      <c r="AP94" s="115">
        <f t="shared" si="409"/>
        <v>19</v>
      </c>
      <c r="AQ94" s="31">
        <f t="shared" ca="1" si="460"/>
        <v>0.25</v>
      </c>
      <c r="AR94" s="31">
        <f t="shared" ca="1" si="460"/>
        <v>0.15</v>
      </c>
      <c r="AS94" s="35">
        <v>0</v>
      </c>
      <c r="AT94" s="229">
        <v>0</v>
      </c>
      <c r="AU94" s="344">
        <f t="shared" ca="1" si="461"/>
        <v>300</v>
      </c>
      <c r="AV94" s="345">
        <f t="shared" ca="1" si="462"/>
        <v>300</v>
      </c>
      <c r="AW94" s="346">
        <f t="shared" ca="1" si="463"/>
        <v>300</v>
      </c>
      <c r="AX94" s="280"/>
      <c r="AY94" s="280"/>
      <c r="AZ94" s="347">
        <f t="shared" ca="1" si="464"/>
        <v>300</v>
      </c>
      <c r="BA94" s="348">
        <f t="shared" ca="1" si="465"/>
        <v>300</v>
      </c>
      <c r="BB94" s="347">
        <f t="shared" ca="1" si="466"/>
        <v>1</v>
      </c>
      <c r="BC94" s="37" t="str">
        <f t="shared" ca="1" si="466"/>
        <v>1000 контактов</v>
      </c>
      <c r="BD94" s="229" t="str">
        <f t="shared" ca="1" si="467"/>
        <v>х1000</v>
      </c>
      <c r="BE94" s="283">
        <f t="shared" ca="1" si="4"/>
        <v>0</v>
      </c>
      <c r="BF94" s="347">
        <f t="array" aca="1" ref="BF94" ca="1">SUM($K94:$V94*$BK94:$BV94)*$AZ94</f>
        <v>0</v>
      </c>
      <c r="BG94" s="347">
        <f t="array" aca="1" ref="BG94" ca="1">SUM($K94:$V94*$BY94:$CJ94*$BK94:$BV94)*$AZ94*$BX94</f>
        <v>0</v>
      </c>
      <c r="BH94" s="347">
        <f t="array" aca="1" ref="BH94" ca="1">SUM($K94:$V94*$BY94:$CJ94*$BK94:$BV94)*(1-$BE94)*$AZ94*$BX94</f>
        <v>0</v>
      </c>
      <c r="BI94" s="350">
        <f t="shared" ca="1" si="468"/>
        <v>0</v>
      </c>
      <c r="BJ94" s="275" t="str">
        <f t="shared" ca="1" si="469"/>
        <v>Да</v>
      </c>
      <c r="BK94" s="116">
        <f t="shared" ca="1" si="470"/>
        <v>0.8</v>
      </c>
      <c r="BL94" s="117">
        <f t="shared" ca="1" si="470"/>
        <v>0.9</v>
      </c>
      <c r="BM94" s="117">
        <f t="shared" ca="1" si="470"/>
        <v>1</v>
      </c>
      <c r="BN94" s="117">
        <f t="shared" ca="1" si="470"/>
        <v>1</v>
      </c>
      <c r="BO94" s="117">
        <f t="shared" ca="1" si="470"/>
        <v>1</v>
      </c>
      <c r="BP94" s="117">
        <f t="shared" ca="1" si="470"/>
        <v>1</v>
      </c>
      <c r="BQ94" s="117">
        <f t="shared" ca="1" si="470"/>
        <v>0.9</v>
      </c>
      <c r="BR94" s="117">
        <f t="shared" ca="1" si="470"/>
        <v>0.9</v>
      </c>
      <c r="BS94" s="117">
        <f t="shared" ca="1" si="470"/>
        <v>1.3</v>
      </c>
      <c r="BT94" s="117">
        <f t="shared" ca="1" si="470"/>
        <v>1.3</v>
      </c>
      <c r="BU94" s="117">
        <f t="shared" ca="1" si="470"/>
        <v>1.3</v>
      </c>
      <c r="BV94" s="278">
        <f t="shared" ca="1" si="470"/>
        <v>1.3</v>
      </c>
      <c r="BW94" s="280">
        <f t="shared" si="6"/>
        <v>13</v>
      </c>
      <c r="BX94" s="118">
        <f>IF($AN94="Ya",100%,100%+extraDelayZ)</f>
        <v>1</v>
      </c>
      <c r="BY94" s="263">
        <f t="shared" ref="BY94" si="549">(1+AA94)</f>
        <v>1</v>
      </c>
      <c r="BZ94" s="264">
        <f t="shared" ref="BZ94" si="550">(1+AB94)</f>
        <v>1</v>
      </c>
      <c r="CA94" s="264">
        <f t="shared" ref="CA94" si="551">(1+AC94)</f>
        <v>1</v>
      </c>
      <c r="CB94" s="264">
        <f t="shared" ref="CB94" si="552">(1+AD94)</f>
        <v>1</v>
      </c>
      <c r="CC94" s="264">
        <f t="shared" ref="CC94" si="553">(1+AE94)</f>
        <v>1</v>
      </c>
      <c r="CD94" s="264">
        <f t="shared" ref="CD94" si="554">(1+AF94)</f>
        <v>1</v>
      </c>
      <c r="CE94" s="264">
        <f t="shared" ref="CE94" si="555">(1+AG94)</f>
        <v>1</v>
      </c>
      <c r="CF94" s="264">
        <f t="shared" ref="CF94" si="556">(1+AH94)</f>
        <v>1</v>
      </c>
      <c r="CG94" s="264">
        <f t="shared" ref="CG94" si="557">(1+AI94)</f>
        <v>1</v>
      </c>
      <c r="CH94" s="264">
        <f t="shared" ref="CH94" si="558">(1+AJ94)</f>
        <v>1</v>
      </c>
      <c r="CI94" s="264">
        <f t="shared" ref="CI94" si="559">(1+AK94)</f>
        <v>1</v>
      </c>
      <c r="CJ94" s="265">
        <f t="shared" ref="CJ94" si="560">(1+AL94)</f>
        <v>1</v>
      </c>
      <c r="CK94" s="269">
        <f t="array" ref="CK94">IF(ISERROR(SUM($K94:$V94*$BY94:$CJ94)/SUM($K94:$V94)),1,SUM($K94:$V94*$BY94:$CJ94)/SUM($K94:$V94))-1</f>
        <v>0</v>
      </c>
      <c r="CL94" s="234"/>
    </row>
    <row r="95" spans="1:90" ht="12.75" hidden="1" outlineLevel="1" x14ac:dyDescent="0.2">
      <c r="B95" s="404" t="str">
        <f t="shared" ca="1" si="450"/>
        <v>Пакет "Охват 1000К", 240х400 (второй экран)</v>
      </c>
      <c r="C95" s="676" t="str">
        <f t="shared" ca="1" si="451"/>
        <v>Пакет</v>
      </c>
      <c r="D95" s="405">
        <f t="shared" ca="1" si="452"/>
        <v>270</v>
      </c>
      <c r="E95" s="405">
        <f t="shared" ca="1" si="453"/>
        <v>270</v>
      </c>
      <c r="F95" s="405">
        <f t="shared" ca="1" si="454"/>
        <v>270</v>
      </c>
      <c r="G95" s="406">
        <f t="shared" ca="1" si="455"/>
        <v>270000</v>
      </c>
      <c r="H95" s="406">
        <f t="shared" ca="1" si="456"/>
        <v>270000</v>
      </c>
      <c r="I95" s="406">
        <f t="shared" ca="1" si="457"/>
        <v>0</v>
      </c>
      <c r="J95" s="407">
        <f t="shared" ca="1" si="458"/>
        <v>0</v>
      </c>
      <c r="K95" s="423"/>
      <c r="L95" s="424"/>
      <c r="M95" s="424"/>
      <c r="N95" s="424"/>
      <c r="O95" s="424"/>
      <c r="P95" s="424"/>
      <c r="Q95" s="424"/>
      <c r="R95" s="424"/>
      <c r="S95" s="424"/>
      <c r="T95" s="424"/>
      <c r="U95" s="424"/>
      <c r="V95" s="425"/>
      <c r="W95" s="406">
        <f t="shared" ca="1" si="1"/>
        <v>0</v>
      </c>
      <c r="X95" s="406"/>
      <c r="Y95" s="411"/>
      <c r="Z95" s="412">
        <f t="shared" ref="Z95" si="561">CK95</f>
        <v>0</v>
      </c>
      <c r="AA95" s="685"/>
      <c r="AB95" s="685"/>
      <c r="AC95" s="685"/>
      <c r="AD95" s="685"/>
      <c r="AE95" s="685"/>
      <c r="AF95" s="685"/>
      <c r="AG95" s="685"/>
      <c r="AH95" s="685"/>
      <c r="AI95" s="685"/>
      <c r="AJ95" s="685"/>
      <c r="AK95" s="685"/>
      <c r="AL95" s="685"/>
      <c r="AM95" s="686"/>
      <c r="AN95" s="351" t="s">
        <v>127</v>
      </c>
      <c r="AO95" s="351" t="str">
        <f t="shared" si="2"/>
        <v>Afisha.ru</v>
      </c>
      <c r="AP95" s="115">
        <f t="shared" si="409"/>
        <v>19</v>
      </c>
      <c r="AQ95" s="31">
        <f t="shared" ca="1" si="460"/>
        <v>0.25</v>
      </c>
      <c r="AR95" s="31">
        <f t="shared" ca="1" si="460"/>
        <v>0.15</v>
      </c>
      <c r="AS95" s="35">
        <v>0</v>
      </c>
      <c r="AT95" s="229">
        <v>0</v>
      </c>
      <c r="AU95" s="344">
        <f t="shared" ca="1" si="461"/>
        <v>270</v>
      </c>
      <c r="AV95" s="345">
        <f t="shared" ca="1" si="462"/>
        <v>270</v>
      </c>
      <c r="AW95" s="346">
        <f t="shared" ca="1" si="463"/>
        <v>270</v>
      </c>
      <c r="AX95" s="280"/>
      <c r="AY95" s="280"/>
      <c r="AZ95" s="347">
        <f t="shared" ca="1" si="464"/>
        <v>270000</v>
      </c>
      <c r="BA95" s="348">
        <f t="shared" ca="1" si="465"/>
        <v>270000</v>
      </c>
      <c r="BB95" s="347">
        <f t="shared" ca="1" si="466"/>
        <v>1000</v>
      </c>
      <c r="BC95" s="37" t="str">
        <f t="shared" ca="1" si="466"/>
        <v>Пакет</v>
      </c>
      <c r="BD95" s="229" t="str">
        <f t="shared" ca="1" si="467"/>
        <v>Пакет</v>
      </c>
      <c r="BE95" s="283">
        <f t="shared" ca="1" si="4"/>
        <v>0</v>
      </c>
      <c r="BF95" s="347">
        <f t="array" aca="1" ref="BF95" ca="1">SUM($K95:$V95*$BK95:$BV95)*$AZ95</f>
        <v>0</v>
      </c>
      <c r="BG95" s="347">
        <f t="array" aca="1" ref="BG95" ca="1">SUM($K95:$V95*$BY95:$CJ95*$BK95:$BV95)*$AZ95*$BX95</f>
        <v>0</v>
      </c>
      <c r="BH95" s="347">
        <f t="array" aca="1" ref="BH95" ca="1">SUM($K95:$V95*$BY95:$CJ95*$BK95:$BV95)*(1-$BE95)*$AZ95*$BX95</f>
        <v>0</v>
      </c>
      <c r="BI95" s="350">
        <f t="shared" ca="1" si="468"/>
        <v>0</v>
      </c>
      <c r="BJ95" s="275" t="str">
        <f t="shared" ca="1" si="469"/>
        <v>Да</v>
      </c>
      <c r="BK95" s="116">
        <f t="shared" ca="1" si="470"/>
        <v>0.8</v>
      </c>
      <c r="BL95" s="117">
        <f t="shared" ca="1" si="470"/>
        <v>0.9</v>
      </c>
      <c r="BM95" s="117">
        <f t="shared" ca="1" si="470"/>
        <v>1</v>
      </c>
      <c r="BN95" s="117">
        <f t="shared" ca="1" si="470"/>
        <v>1</v>
      </c>
      <c r="BO95" s="117">
        <f t="shared" ca="1" si="470"/>
        <v>1</v>
      </c>
      <c r="BP95" s="117">
        <f t="shared" ca="1" si="470"/>
        <v>1</v>
      </c>
      <c r="BQ95" s="117">
        <f t="shared" ca="1" si="470"/>
        <v>0.9</v>
      </c>
      <c r="BR95" s="117">
        <f t="shared" ca="1" si="470"/>
        <v>0.9</v>
      </c>
      <c r="BS95" s="117">
        <f t="shared" ca="1" si="470"/>
        <v>1.3</v>
      </c>
      <c r="BT95" s="117">
        <f t="shared" ca="1" si="470"/>
        <v>1.3</v>
      </c>
      <c r="BU95" s="117">
        <f t="shared" ca="1" si="470"/>
        <v>1.3</v>
      </c>
      <c r="BV95" s="278">
        <f t="shared" ca="1" si="470"/>
        <v>1.3</v>
      </c>
      <c r="BW95" s="280">
        <f t="shared" si="6"/>
        <v>14</v>
      </c>
      <c r="BX95" s="118">
        <f>IF($AN95="Ya",100%,100%+extraDelayZ)</f>
        <v>1</v>
      </c>
      <c r="BY95" s="263">
        <f t="shared" ref="BY95" si="562">(1+AA95)</f>
        <v>1</v>
      </c>
      <c r="BZ95" s="264">
        <f t="shared" ref="BZ95" si="563">(1+AB95)</f>
        <v>1</v>
      </c>
      <c r="CA95" s="264">
        <f t="shared" ref="CA95" si="564">(1+AC95)</f>
        <v>1</v>
      </c>
      <c r="CB95" s="264">
        <f t="shared" ref="CB95" si="565">(1+AD95)</f>
        <v>1</v>
      </c>
      <c r="CC95" s="264">
        <f t="shared" ref="CC95" si="566">(1+AE95)</f>
        <v>1</v>
      </c>
      <c r="CD95" s="264">
        <f t="shared" ref="CD95" si="567">(1+AF95)</f>
        <v>1</v>
      </c>
      <c r="CE95" s="264">
        <f t="shared" ref="CE95" si="568">(1+AG95)</f>
        <v>1</v>
      </c>
      <c r="CF95" s="264">
        <f t="shared" ref="CF95" si="569">(1+AH95)</f>
        <v>1</v>
      </c>
      <c r="CG95" s="264">
        <f t="shared" ref="CG95" si="570">(1+AI95)</f>
        <v>1</v>
      </c>
      <c r="CH95" s="264">
        <f t="shared" ref="CH95" si="571">(1+AJ95)</f>
        <v>1</v>
      </c>
      <c r="CI95" s="264">
        <f t="shared" ref="CI95" si="572">(1+AK95)</f>
        <v>1</v>
      </c>
      <c r="CJ95" s="265">
        <f t="shared" ref="CJ95" si="573">(1+AL95)</f>
        <v>1</v>
      </c>
      <c r="CK95" s="269">
        <f t="array" ref="CK95">IF(ISERROR(SUM($K95:$V95*$BY95:$CJ95)/SUM($K95:$V95)),1,SUM($K95:$V95*$BY95:$CJ95)/SUM($K95:$V95))-1</f>
        <v>0</v>
      </c>
      <c r="CL95" s="234"/>
    </row>
    <row r="96" spans="1:90" ht="12.75" hidden="1" outlineLevel="1" x14ac:dyDescent="0.2">
      <c r="B96" s="404" t="str">
        <f t="shared" ca="1" si="450"/>
        <v>Пакет "Москва", 240х400 (второй экран)</v>
      </c>
      <c r="C96" s="676" t="str">
        <f t="shared" ca="1" si="451"/>
        <v>Пакет</v>
      </c>
      <c r="D96" s="405">
        <f t="shared" ca="1" si="452"/>
        <v>300</v>
      </c>
      <c r="E96" s="405">
        <f t="shared" ca="1" si="453"/>
        <v>300</v>
      </c>
      <c r="F96" s="405">
        <f t="shared" ca="1" si="454"/>
        <v>300</v>
      </c>
      <c r="G96" s="406">
        <f t="shared" ca="1" si="455"/>
        <v>210000</v>
      </c>
      <c r="H96" s="406">
        <f t="shared" ca="1" si="456"/>
        <v>210000</v>
      </c>
      <c r="I96" s="406">
        <f t="shared" ca="1" si="457"/>
        <v>0</v>
      </c>
      <c r="J96" s="407">
        <f t="shared" ca="1" si="458"/>
        <v>0</v>
      </c>
      <c r="K96" s="423"/>
      <c r="L96" s="424"/>
      <c r="M96" s="424"/>
      <c r="N96" s="424"/>
      <c r="O96" s="424"/>
      <c r="P96" s="424"/>
      <c r="Q96" s="424"/>
      <c r="R96" s="424"/>
      <c r="S96" s="424"/>
      <c r="T96" s="424"/>
      <c r="U96" s="424"/>
      <c r="V96" s="425"/>
      <c r="W96" s="406">
        <f t="shared" ca="1" si="1"/>
        <v>0</v>
      </c>
      <c r="X96" s="406"/>
      <c r="Y96" s="411"/>
      <c r="Z96" s="412">
        <f t="shared" si="509"/>
        <v>0</v>
      </c>
      <c r="AA96" s="685"/>
      <c r="AB96" s="685"/>
      <c r="AC96" s="685"/>
      <c r="AD96" s="685"/>
      <c r="AE96" s="685"/>
      <c r="AF96" s="685"/>
      <c r="AG96" s="685"/>
      <c r="AH96" s="685"/>
      <c r="AI96" s="685"/>
      <c r="AJ96" s="685"/>
      <c r="AK96" s="685"/>
      <c r="AL96" s="685"/>
      <c r="AM96" s="686"/>
      <c r="AN96" s="351" t="s">
        <v>127</v>
      </c>
      <c r="AO96" s="351" t="str">
        <f t="shared" si="2"/>
        <v>Afisha.ru</v>
      </c>
      <c r="AP96" s="115">
        <f t="shared" si="409"/>
        <v>19</v>
      </c>
      <c r="AQ96" s="31" t="str">
        <f t="shared" ca="1" si="460"/>
        <v>Вкл.</v>
      </c>
      <c r="AR96" s="31">
        <f t="shared" ca="1" si="460"/>
        <v>0.15</v>
      </c>
      <c r="AS96" s="35">
        <v>0</v>
      </c>
      <c r="AT96" s="229">
        <v>0</v>
      </c>
      <c r="AU96" s="344">
        <f t="shared" ca="1" si="461"/>
        <v>300</v>
      </c>
      <c r="AV96" s="345">
        <f t="shared" ca="1" si="462"/>
        <v>300</v>
      </c>
      <c r="AW96" s="346">
        <f t="shared" ca="1" si="463"/>
        <v>300</v>
      </c>
      <c r="AX96" s="280"/>
      <c r="AY96" s="280"/>
      <c r="AZ96" s="347">
        <f t="shared" ca="1" si="464"/>
        <v>210000</v>
      </c>
      <c r="BA96" s="348">
        <f t="shared" ca="1" si="465"/>
        <v>210000</v>
      </c>
      <c r="BB96" s="347">
        <f t="shared" ca="1" si="466"/>
        <v>700</v>
      </c>
      <c r="BC96" s="37" t="str">
        <f t="shared" ca="1" si="466"/>
        <v>Пакет</v>
      </c>
      <c r="BD96" s="229" t="str">
        <f t="shared" ca="1" si="467"/>
        <v>Пакет</v>
      </c>
      <c r="BE96" s="283">
        <f t="shared" ca="1" si="4"/>
        <v>0</v>
      </c>
      <c r="BF96" s="347">
        <f t="array" aca="1" ref="BF96" ca="1">SUM($K96:$V96*$BK96:$BV96)*$AZ96</f>
        <v>0</v>
      </c>
      <c r="BG96" s="347">
        <f t="array" aca="1" ref="BG96" ca="1">SUM($K96:$V96*$BY96:$CJ96*$BK96:$BV96)*$AZ96*$BX96</f>
        <v>0</v>
      </c>
      <c r="BH96" s="347">
        <f t="array" aca="1" ref="BH96" ca="1">SUM($K96:$V96*$BY96:$CJ96*$BK96:$BV96)*(1-$BE96)*$AZ96*$BX96</f>
        <v>0</v>
      </c>
      <c r="BI96" s="350">
        <f t="shared" ca="1" si="468"/>
        <v>0</v>
      </c>
      <c r="BJ96" s="275" t="str">
        <f t="shared" ca="1" si="469"/>
        <v>Да</v>
      </c>
      <c r="BK96" s="116">
        <f t="shared" ca="1" si="470"/>
        <v>0.8</v>
      </c>
      <c r="BL96" s="117">
        <f t="shared" ca="1" si="470"/>
        <v>0.9</v>
      </c>
      <c r="BM96" s="117">
        <f t="shared" ca="1" si="470"/>
        <v>1</v>
      </c>
      <c r="BN96" s="117">
        <f t="shared" ca="1" si="470"/>
        <v>1</v>
      </c>
      <c r="BO96" s="117">
        <f t="shared" ca="1" si="470"/>
        <v>1</v>
      </c>
      <c r="BP96" s="117">
        <f t="shared" ca="1" si="470"/>
        <v>1</v>
      </c>
      <c r="BQ96" s="117">
        <f t="shared" ca="1" si="470"/>
        <v>0.9</v>
      </c>
      <c r="BR96" s="117">
        <f t="shared" ca="1" si="470"/>
        <v>0.9</v>
      </c>
      <c r="BS96" s="117">
        <f t="shared" ca="1" si="470"/>
        <v>1.3</v>
      </c>
      <c r="BT96" s="117">
        <f t="shared" ca="1" si="470"/>
        <v>1.3</v>
      </c>
      <c r="BU96" s="117">
        <f t="shared" ca="1" si="470"/>
        <v>1.3</v>
      </c>
      <c r="BV96" s="278">
        <f t="shared" ca="1" si="470"/>
        <v>1.3</v>
      </c>
      <c r="BW96" s="280">
        <f t="shared" si="6"/>
        <v>15</v>
      </c>
      <c r="BX96" s="118">
        <f>IF($AN96="Ya",100%,100%+extraDelayZ)</f>
        <v>1</v>
      </c>
      <c r="BY96" s="263">
        <f t="shared" si="510"/>
        <v>1</v>
      </c>
      <c r="BZ96" s="264">
        <f t="shared" si="511"/>
        <v>1</v>
      </c>
      <c r="CA96" s="264">
        <f t="shared" si="512"/>
        <v>1</v>
      </c>
      <c r="CB96" s="264">
        <f t="shared" si="513"/>
        <v>1</v>
      </c>
      <c r="CC96" s="264">
        <f t="shared" si="514"/>
        <v>1</v>
      </c>
      <c r="CD96" s="264">
        <f t="shared" si="515"/>
        <v>1</v>
      </c>
      <c r="CE96" s="264">
        <f t="shared" si="516"/>
        <v>1</v>
      </c>
      <c r="CF96" s="264">
        <f t="shared" si="517"/>
        <v>1</v>
      </c>
      <c r="CG96" s="264">
        <f t="shared" si="518"/>
        <v>1</v>
      </c>
      <c r="CH96" s="264">
        <f t="shared" si="519"/>
        <v>1</v>
      </c>
      <c r="CI96" s="264">
        <f t="shared" si="520"/>
        <v>1</v>
      </c>
      <c r="CJ96" s="265">
        <f t="shared" si="521"/>
        <v>1</v>
      </c>
      <c r="CK96" s="269">
        <f t="array" ref="CK96">IF(ISERROR(SUM($K96:$V96*$BY96:$CJ96)/SUM($K96:$V96)),1,SUM($K96:$V96*$BY96:$CJ96)/SUM($K96:$V96))-1</f>
        <v>0</v>
      </c>
      <c r="CL96" s="234"/>
    </row>
    <row r="97" spans="1:90" ht="12.75" hidden="1" outlineLevel="1" x14ac:dyDescent="0.2">
      <c r="B97" s="404" t="str">
        <f t="shared" ca="1" si="450"/>
        <v>Пакет "Питер", 240х400 (второй экран)</v>
      </c>
      <c r="C97" s="676" t="str">
        <f t="shared" ca="1" si="451"/>
        <v>Пакет</v>
      </c>
      <c r="D97" s="405">
        <f t="shared" ca="1" si="452"/>
        <v>300</v>
      </c>
      <c r="E97" s="405">
        <f t="shared" ca="1" si="453"/>
        <v>300</v>
      </c>
      <c r="F97" s="405">
        <f t="shared" ca="1" si="454"/>
        <v>300</v>
      </c>
      <c r="G97" s="406">
        <f t="shared" ca="1" si="455"/>
        <v>75000</v>
      </c>
      <c r="H97" s="406">
        <f t="shared" ca="1" si="456"/>
        <v>75000</v>
      </c>
      <c r="I97" s="406">
        <f t="shared" ca="1" si="457"/>
        <v>0</v>
      </c>
      <c r="J97" s="407">
        <f t="shared" ca="1" si="458"/>
        <v>0</v>
      </c>
      <c r="K97" s="423"/>
      <c r="L97" s="424"/>
      <c r="M97" s="424"/>
      <c r="N97" s="424"/>
      <c r="O97" s="424"/>
      <c r="P97" s="424"/>
      <c r="Q97" s="424"/>
      <c r="R97" s="424"/>
      <c r="S97" s="424"/>
      <c r="T97" s="424"/>
      <c r="U97" s="424"/>
      <c r="V97" s="425"/>
      <c r="W97" s="406">
        <f t="shared" ca="1" si="1"/>
        <v>0</v>
      </c>
      <c r="X97" s="406"/>
      <c r="Y97" s="411"/>
      <c r="Z97" s="412">
        <f t="shared" si="509"/>
        <v>0</v>
      </c>
      <c r="AA97" s="685"/>
      <c r="AB97" s="685"/>
      <c r="AC97" s="685"/>
      <c r="AD97" s="685"/>
      <c r="AE97" s="685"/>
      <c r="AF97" s="685"/>
      <c r="AG97" s="685"/>
      <c r="AH97" s="685"/>
      <c r="AI97" s="685"/>
      <c r="AJ97" s="685"/>
      <c r="AK97" s="685"/>
      <c r="AL97" s="685"/>
      <c r="AM97" s="686"/>
      <c r="AN97" s="351" t="s">
        <v>127</v>
      </c>
      <c r="AO97" s="351" t="str">
        <f t="shared" si="2"/>
        <v>Afisha.ru</v>
      </c>
      <c r="AP97" s="115">
        <f t="shared" si="409"/>
        <v>19</v>
      </c>
      <c r="AQ97" s="31" t="str">
        <f t="shared" ca="1" si="460"/>
        <v>Вкл.</v>
      </c>
      <c r="AR97" s="31">
        <f t="shared" ca="1" si="460"/>
        <v>0.15</v>
      </c>
      <c r="AS97" s="35">
        <v>0</v>
      </c>
      <c r="AT97" s="229">
        <v>0</v>
      </c>
      <c r="AU97" s="344">
        <f t="shared" ca="1" si="461"/>
        <v>300</v>
      </c>
      <c r="AV97" s="345">
        <f t="shared" ca="1" si="462"/>
        <v>300</v>
      </c>
      <c r="AW97" s="346">
        <f t="shared" ca="1" si="463"/>
        <v>300</v>
      </c>
      <c r="AX97" s="280"/>
      <c r="AY97" s="280"/>
      <c r="AZ97" s="347">
        <f t="shared" ca="1" si="464"/>
        <v>75000</v>
      </c>
      <c r="BA97" s="348">
        <f t="shared" ca="1" si="465"/>
        <v>75000</v>
      </c>
      <c r="BB97" s="347">
        <f t="shared" ca="1" si="466"/>
        <v>250</v>
      </c>
      <c r="BC97" s="37" t="str">
        <f t="shared" ca="1" si="466"/>
        <v>Пакет</v>
      </c>
      <c r="BD97" s="229" t="str">
        <f t="shared" ca="1" si="467"/>
        <v>Пакет</v>
      </c>
      <c r="BE97" s="283">
        <f t="shared" ca="1" si="4"/>
        <v>0</v>
      </c>
      <c r="BF97" s="347">
        <f t="array" aca="1" ref="BF97" ca="1">SUM($K97:$V97*$BK97:$BV97)*$AZ97</f>
        <v>0</v>
      </c>
      <c r="BG97" s="347">
        <f t="array" aca="1" ref="BG97" ca="1">SUM($K97:$V97*$BY97:$CJ97*$BK97:$BV97)*$AZ97*$BX97</f>
        <v>0</v>
      </c>
      <c r="BH97" s="347">
        <f t="array" aca="1" ref="BH97" ca="1">SUM($K97:$V97*$BY97:$CJ97*$BK97:$BV97)*(1-$BE97)*$AZ97*$BX97</f>
        <v>0</v>
      </c>
      <c r="BI97" s="350">
        <f t="shared" ca="1" si="468"/>
        <v>0</v>
      </c>
      <c r="BJ97" s="275" t="str">
        <f t="shared" ca="1" si="469"/>
        <v>Да</v>
      </c>
      <c r="BK97" s="116">
        <f t="shared" ca="1" si="470"/>
        <v>0.8</v>
      </c>
      <c r="BL97" s="117">
        <f t="shared" ca="1" si="470"/>
        <v>0.9</v>
      </c>
      <c r="BM97" s="117">
        <f t="shared" ca="1" si="470"/>
        <v>1</v>
      </c>
      <c r="BN97" s="117">
        <f t="shared" ca="1" si="470"/>
        <v>1</v>
      </c>
      <c r="BO97" s="117">
        <f t="shared" ca="1" si="470"/>
        <v>1</v>
      </c>
      <c r="BP97" s="117">
        <f t="shared" ca="1" si="470"/>
        <v>1</v>
      </c>
      <c r="BQ97" s="117">
        <f t="shared" ca="1" si="470"/>
        <v>0.9</v>
      </c>
      <c r="BR97" s="117">
        <f t="shared" ca="1" si="470"/>
        <v>0.9</v>
      </c>
      <c r="BS97" s="117">
        <f t="shared" ca="1" si="470"/>
        <v>1.3</v>
      </c>
      <c r="BT97" s="117">
        <f t="shared" ca="1" si="470"/>
        <v>1.3</v>
      </c>
      <c r="BU97" s="117">
        <f t="shared" ca="1" si="470"/>
        <v>1.3</v>
      </c>
      <c r="BV97" s="278">
        <f t="shared" ca="1" si="470"/>
        <v>1.3</v>
      </c>
      <c r="BW97" s="280">
        <f t="shared" si="6"/>
        <v>16</v>
      </c>
      <c r="BX97" s="118">
        <f>IF($AN97="Ya",100%,100%+extraDelayZ)</f>
        <v>1</v>
      </c>
      <c r="BY97" s="263">
        <f t="shared" si="510"/>
        <v>1</v>
      </c>
      <c r="BZ97" s="264">
        <f t="shared" si="511"/>
        <v>1</v>
      </c>
      <c r="CA97" s="264">
        <f t="shared" si="512"/>
        <v>1</v>
      </c>
      <c r="CB97" s="264">
        <f t="shared" si="513"/>
        <v>1</v>
      </c>
      <c r="CC97" s="264">
        <f t="shared" si="514"/>
        <v>1</v>
      </c>
      <c r="CD97" s="264">
        <f t="shared" si="515"/>
        <v>1</v>
      </c>
      <c r="CE97" s="264">
        <f t="shared" si="516"/>
        <v>1</v>
      </c>
      <c r="CF97" s="264">
        <f t="shared" si="517"/>
        <v>1</v>
      </c>
      <c r="CG97" s="264">
        <f t="shared" si="518"/>
        <v>1</v>
      </c>
      <c r="CH97" s="264">
        <f t="shared" si="519"/>
        <v>1</v>
      </c>
      <c r="CI97" s="264">
        <f t="shared" si="520"/>
        <v>1</v>
      </c>
      <c r="CJ97" s="265">
        <f t="shared" si="521"/>
        <v>1</v>
      </c>
      <c r="CK97" s="269">
        <f t="array" ref="CK97">IF(ISERROR(SUM($K97:$V97*$BY97:$CJ97)/SUM($K97:$V97)),1,SUM($K97:$V97*$BY97:$CJ97)/SUM($K97:$V97))-1</f>
        <v>0</v>
      </c>
      <c r="CL97" s="234"/>
    </row>
    <row r="98" spans="1:90" ht="12.75" hidden="1" outlineLevel="1" x14ac:dyDescent="0.2">
      <c r="B98" s="404" t="str">
        <f t="shared" ca="1" si="450"/>
        <v>Aфиша-Еда, все страницы, динамика 240х400</v>
      </c>
      <c r="C98" s="676" t="str">
        <f t="shared" ca="1" si="451"/>
        <v>х1000</v>
      </c>
      <c r="D98" s="405">
        <f t="shared" ca="1" si="452"/>
        <v>500</v>
      </c>
      <c r="E98" s="405">
        <f t="shared" ca="1" si="453"/>
        <v>500</v>
      </c>
      <c r="F98" s="405">
        <f t="shared" ca="1" si="454"/>
        <v>500</v>
      </c>
      <c r="G98" s="406">
        <f t="shared" ca="1" si="455"/>
        <v>500</v>
      </c>
      <c r="H98" s="406">
        <f t="shared" ca="1" si="456"/>
        <v>500</v>
      </c>
      <c r="I98" s="406">
        <f t="shared" ca="1" si="457"/>
        <v>0</v>
      </c>
      <c r="J98" s="407">
        <f t="shared" ca="1" si="458"/>
        <v>0</v>
      </c>
      <c r="K98" s="423"/>
      <c r="L98" s="424"/>
      <c r="M98" s="424"/>
      <c r="N98" s="424"/>
      <c r="O98" s="424"/>
      <c r="P98" s="424"/>
      <c r="Q98" s="424"/>
      <c r="R98" s="424"/>
      <c r="S98" s="424"/>
      <c r="T98" s="424"/>
      <c r="U98" s="424"/>
      <c r="V98" s="425"/>
      <c r="W98" s="406">
        <f t="shared" ca="1" si="1"/>
        <v>0</v>
      </c>
      <c r="X98" s="406"/>
      <c r="Y98" s="411"/>
      <c r="Z98" s="412">
        <f t="shared" si="509"/>
        <v>0</v>
      </c>
      <c r="AA98" s="685"/>
      <c r="AB98" s="685"/>
      <c r="AC98" s="685"/>
      <c r="AD98" s="685"/>
      <c r="AE98" s="685"/>
      <c r="AF98" s="685"/>
      <c r="AG98" s="685"/>
      <c r="AH98" s="685"/>
      <c r="AI98" s="685"/>
      <c r="AJ98" s="685"/>
      <c r="AK98" s="685"/>
      <c r="AL98" s="685"/>
      <c r="AM98" s="686"/>
      <c r="AN98" s="351" t="s">
        <v>127</v>
      </c>
      <c r="AO98" s="351" t="str">
        <f t="shared" si="2"/>
        <v>Afisha.ru</v>
      </c>
      <c r="AP98" s="115">
        <f t="shared" si="409"/>
        <v>19</v>
      </c>
      <c r="AQ98" s="31">
        <f t="shared" ca="1" si="460"/>
        <v>0.25</v>
      </c>
      <c r="AR98" s="31">
        <f t="shared" ca="1" si="460"/>
        <v>0.15</v>
      </c>
      <c r="AS98" s="35">
        <v>0</v>
      </c>
      <c r="AT98" s="229">
        <v>0</v>
      </c>
      <c r="AU98" s="344">
        <f t="shared" ca="1" si="461"/>
        <v>500</v>
      </c>
      <c r="AV98" s="345">
        <f t="shared" ca="1" si="462"/>
        <v>500</v>
      </c>
      <c r="AW98" s="346">
        <f t="shared" ca="1" si="463"/>
        <v>500</v>
      </c>
      <c r="AX98" s="280"/>
      <c r="AY98" s="280"/>
      <c r="AZ98" s="347">
        <f t="shared" ca="1" si="464"/>
        <v>500</v>
      </c>
      <c r="BA98" s="348">
        <f t="shared" ca="1" si="465"/>
        <v>500</v>
      </c>
      <c r="BB98" s="347">
        <f t="shared" ca="1" si="466"/>
        <v>1</v>
      </c>
      <c r="BC98" s="37" t="str">
        <f t="shared" ca="1" si="466"/>
        <v>1000 контактов</v>
      </c>
      <c r="BD98" s="229" t="str">
        <f t="shared" ca="1" si="467"/>
        <v>х1000</v>
      </c>
      <c r="BE98" s="283">
        <f t="shared" ca="1" si="4"/>
        <v>0</v>
      </c>
      <c r="BF98" s="347">
        <f t="array" aca="1" ref="BF98" ca="1">SUM($K98:$V98*$BK98:$BV98)*$AZ98</f>
        <v>0</v>
      </c>
      <c r="BG98" s="347">
        <f t="array" aca="1" ref="BG98" ca="1">SUM($K98:$V98*$BY98:$CJ98*$BK98:$BV98)*$AZ98*$BX98</f>
        <v>0</v>
      </c>
      <c r="BH98" s="347">
        <f t="array" aca="1" ref="BH98" ca="1">SUM($K98:$V98*$BY98:$CJ98*$BK98:$BV98)*(1-$BE98)*$AZ98*$BX98</f>
        <v>0</v>
      </c>
      <c r="BI98" s="350">
        <f t="shared" ca="1" si="468"/>
        <v>0</v>
      </c>
      <c r="BJ98" s="275" t="str">
        <f t="shared" ca="1" si="469"/>
        <v>Да</v>
      </c>
      <c r="BK98" s="116">
        <f t="shared" ca="1" si="470"/>
        <v>0.8</v>
      </c>
      <c r="BL98" s="117">
        <f t="shared" ca="1" si="470"/>
        <v>0.9</v>
      </c>
      <c r="BM98" s="117">
        <f t="shared" ca="1" si="470"/>
        <v>1</v>
      </c>
      <c r="BN98" s="117">
        <f t="shared" ca="1" si="470"/>
        <v>1</v>
      </c>
      <c r="BO98" s="117">
        <f t="shared" ca="1" si="470"/>
        <v>1</v>
      </c>
      <c r="BP98" s="117">
        <f t="shared" ca="1" si="470"/>
        <v>1</v>
      </c>
      <c r="BQ98" s="117">
        <f t="shared" ca="1" si="470"/>
        <v>0.9</v>
      </c>
      <c r="BR98" s="117">
        <f t="shared" ca="1" si="470"/>
        <v>0.9</v>
      </c>
      <c r="BS98" s="117">
        <f t="shared" ca="1" si="470"/>
        <v>1.3</v>
      </c>
      <c r="BT98" s="117">
        <f t="shared" ca="1" si="470"/>
        <v>1.3</v>
      </c>
      <c r="BU98" s="117">
        <f t="shared" ca="1" si="470"/>
        <v>1.3</v>
      </c>
      <c r="BV98" s="278">
        <f t="shared" ca="1" si="470"/>
        <v>1.3</v>
      </c>
      <c r="BW98" s="280">
        <f t="shared" si="6"/>
        <v>17</v>
      </c>
      <c r="BX98" s="118">
        <f>IF($AN98="Ya",100%,100%+extraDelayZ)</f>
        <v>1</v>
      </c>
      <c r="BY98" s="263">
        <f t="shared" si="510"/>
        <v>1</v>
      </c>
      <c r="BZ98" s="264">
        <f t="shared" si="511"/>
        <v>1</v>
      </c>
      <c r="CA98" s="264">
        <f t="shared" si="512"/>
        <v>1</v>
      </c>
      <c r="CB98" s="264">
        <f t="shared" si="513"/>
        <v>1</v>
      </c>
      <c r="CC98" s="264">
        <f t="shared" si="514"/>
        <v>1</v>
      </c>
      <c r="CD98" s="264">
        <f t="shared" si="515"/>
        <v>1</v>
      </c>
      <c r="CE98" s="264">
        <f t="shared" si="516"/>
        <v>1</v>
      </c>
      <c r="CF98" s="264">
        <f t="shared" si="517"/>
        <v>1</v>
      </c>
      <c r="CG98" s="264">
        <f t="shared" si="518"/>
        <v>1</v>
      </c>
      <c r="CH98" s="264">
        <f t="shared" si="519"/>
        <v>1</v>
      </c>
      <c r="CI98" s="264">
        <f t="shared" si="520"/>
        <v>1</v>
      </c>
      <c r="CJ98" s="265">
        <f t="shared" si="521"/>
        <v>1</v>
      </c>
      <c r="CK98" s="269">
        <f t="array" ref="CK98">IF(ISERROR(SUM($K98:$V98*$BY98:$CJ98)/SUM($K98:$V98)),1,SUM($K98:$V98*$BY98:$CJ98)/SUM($K98:$V98))-1</f>
        <v>0</v>
      </c>
      <c r="CL98" s="234"/>
    </row>
    <row r="99" spans="1:90" ht="12.75" hidden="1" outlineLevel="1" x14ac:dyDescent="0.2">
      <c r="B99" s="404" t="str">
        <f t="shared" ca="1" si="450"/>
        <v>Афиша-Мир, все страницы, динамика, 240х400</v>
      </c>
      <c r="C99" s="676" t="str">
        <f t="shared" ca="1" si="451"/>
        <v>х1000</v>
      </c>
      <c r="D99" s="405">
        <f t="shared" ca="1" si="452"/>
        <v>500</v>
      </c>
      <c r="E99" s="405">
        <f t="shared" ca="1" si="453"/>
        <v>500</v>
      </c>
      <c r="F99" s="405">
        <f t="shared" ca="1" si="454"/>
        <v>500</v>
      </c>
      <c r="G99" s="406">
        <f t="shared" ca="1" si="455"/>
        <v>500</v>
      </c>
      <c r="H99" s="406">
        <f t="shared" ca="1" si="456"/>
        <v>500</v>
      </c>
      <c r="I99" s="406">
        <f t="shared" ca="1" si="457"/>
        <v>0</v>
      </c>
      <c r="J99" s="407">
        <f t="shared" ca="1" si="458"/>
        <v>0</v>
      </c>
      <c r="K99" s="423"/>
      <c r="L99" s="424"/>
      <c r="M99" s="424"/>
      <c r="N99" s="424"/>
      <c r="O99" s="424"/>
      <c r="P99" s="424"/>
      <c r="Q99" s="424"/>
      <c r="R99" s="424"/>
      <c r="S99" s="424"/>
      <c r="T99" s="424"/>
      <c r="U99" s="424"/>
      <c r="V99" s="425"/>
      <c r="W99" s="406">
        <f t="shared" ca="1" si="1"/>
        <v>0</v>
      </c>
      <c r="X99" s="406"/>
      <c r="Y99" s="411"/>
      <c r="Z99" s="412">
        <f t="shared" si="509"/>
        <v>0</v>
      </c>
      <c r="AA99" s="685"/>
      <c r="AB99" s="685"/>
      <c r="AC99" s="685"/>
      <c r="AD99" s="685"/>
      <c r="AE99" s="685"/>
      <c r="AF99" s="685"/>
      <c r="AG99" s="685"/>
      <c r="AH99" s="685"/>
      <c r="AI99" s="685"/>
      <c r="AJ99" s="685"/>
      <c r="AK99" s="685"/>
      <c r="AL99" s="685"/>
      <c r="AM99" s="686"/>
      <c r="AN99" s="351" t="s">
        <v>127</v>
      </c>
      <c r="AO99" s="351" t="str">
        <f t="shared" si="2"/>
        <v>Afisha.ru</v>
      </c>
      <c r="AP99" s="115">
        <f t="shared" si="409"/>
        <v>19</v>
      </c>
      <c r="AQ99" s="31">
        <f t="shared" ca="1" si="460"/>
        <v>0.25</v>
      </c>
      <c r="AR99" s="31">
        <f t="shared" ca="1" si="460"/>
        <v>0.15</v>
      </c>
      <c r="AS99" s="35">
        <v>0</v>
      </c>
      <c r="AT99" s="229">
        <v>0</v>
      </c>
      <c r="AU99" s="344">
        <f t="shared" ca="1" si="461"/>
        <v>500</v>
      </c>
      <c r="AV99" s="345">
        <f t="shared" ca="1" si="462"/>
        <v>500</v>
      </c>
      <c r="AW99" s="346">
        <f t="shared" ca="1" si="463"/>
        <v>500</v>
      </c>
      <c r="AX99" s="280"/>
      <c r="AY99" s="280"/>
      <c r="AZ99" s="347">
        <f t="shared" ca="1" si="464"/>
        <v>500</v>
      </c>
      <c r="BA99" s="348">
        <f t="shared" ca="1" si="465"/>
        <v>500</v>
      </c>
      <c r="BB99" s="347">
        <f t="shared" ca="1" si="466"/>
        <v>1</v>
      </c>
      <c r="BC99" s="37" t="str">
        <f t="shared" ca="1" si="466"/>
        <v>1000 контактов</v>
      </c>
      <c r="BD99" s="229" t="str">
        <f t="shared" ca="1" si="467"/>
        <v>х1000</v>
      </c>
      <c r="BE99" s="283">
        <f t="shared" ca="1" si="4"/>
        <v>0</v>
      </c>
      <c r="BF99" s="347">
        <f t="array" aca="1" ref="BF99" ca="1">SUM($K99:$V99*$BK99:$BV99)*$AZ99</f>
        <v>0</v>
      </c>
      <c r="BG99" s="347">
        <f t="array" aca="1" ref="BG99" ca="1">SUM($K99:$V99*$BY99:$CJ99*$BK99:$BV99)*$AZ99*$BX99</f>
        <v>0</v>
      </c>
      <c r="BH99" s="347">
        <f t="array" aca="1" ref="BH99" ca="1">SUM($K99:$V99*$BY99:$CJ99*$BK99:$BV99)*(1-$BE99)*$AZ99*$BX99</f>
        <v>0</v>
      </c>
      <c r="BI99" s="350">
        <f t="shared" ca="1" si="468"/>
        <v>0</v>
      </c>
      <c r="BJ99" s="275" t="str">
        <f t="shared" ca="1" si="469"/>
        <v>Да</v>
      </c>
      <c r="BK99" s="116">
        <f t="shared" ca="1" si="470"/>
        <v>0.8</v>
      </c>
      <c r="BL99" s="117">
        <f t="shared" ca="1" si="470"/>
        <v>0.9</v>
      </c>
      <c r="BM99" s="117">
        <f t="shared" ca="1" si="470"/>
        <v>1</v>
      </c>
      <c r="BN99" s="117">
        <f t="shared" ca="1" si="470"/>
        <v>1</v>
      </c>
      <c r="BO99" s="117">
        <f t="shared" ca="1" si="470"/>
        <v>1</v>
      </c>
      <c r="BP99" s="117">
        <f t="shared" ca="1" si="470"/>
        <v>1</v>
      </c>
      <c r="BQ99" s="117">
        <f t="shared" ca="1" si="470"/>
        <v>0.9</v>
      </c>
      <c r="BR99" s="117">
        <f t="shared" ca="1" si="470"/>
        <v>0.9</v>
      </c>
      <c r="BS99" s="117">
        <f t="shared" ca="1" si="470"/>
        <v>1.3</v>
      </c>
      <c r="BT99" s="117">
        <f t="shared" ca="1" si="470"/>
        <v>1.3</v>
      </c>
      <c r="BU99" s="117">
        <f t="shared" ca="1" si="470"/>
        <v>1.3</v>
      </c>
      <c r="BV99" s="278">
        <f t="shared" ca="1" si="470"/>
        <v>1.3</v>
      </c>
      <c r="BW99" s="280">
        <f t="shared" si="6"/>
        <v>18</v>
      </c>
      <c r="BX99" s="118">
        <f>IF($AN99="Ya",100%,100%+extraDelayZ)</f>
        <v>1</v>
      </c>
      <c r="BY99" s="263">
        <f t="shared" si="510"/>
        <v>1</v>
      </c>
      <c r="BZ99" s="264">
        <f t="shared" si="511"/>
        <v>1</v>
      </c>
      <c r="CA99" s="264">
        <f t="shared" si="512"/>
        <v>1</v>
      </c>
      <c r="CB99" s="264">
        <f t="shared" si="513"/>
        <v>1</v>
      </c>
      <c r="CC99" s="264">
        <f t="shared" si="514"/>
        <v>1</v>
      </c>
      <c r="CD99" s="264">
        <f t="shared" si="515"/>
        <v>1</v>
      </c>
      <c r="CE99" s="264">
        <f t="shared" si="516"/>
        <v>1</v>
      </c>
      <c r="CF99" s="264">
        <f t="shared" si="517"/>
        <v>1</v>
      </c>
      <c r="CG99" s="264">
        <f t="shared" si="518"/>
        <v>1</v>
      </c>
      <c r="CH99" s="264">
        <f t="shared" si="519"/>
        <v>1</v>
      </c>
      <c r="CI99" s="264">
        <f t="shared" si="520"/>
        <v>1</v>
      </c>
      <c r="CJ99" s="265">
        <f t="shared" si="521"/>
        <v>1</v>
      </c>
      <c r="CK99" s="269">
        <f t="array" ref="CK99">IF(ISERROR(SUM($K99:$V99*$BY99:$CJ99)/SUM($K99:$V99)),1,SUM($K99:$V99*$BY99:$CJ99)/SUM($K99:$V99))-1</f>
        <v>0</v>
      </c>
      <c r="CL99" s="234"/>
    </row>
    <row r="100" spans="1:90" ht="12.75" hidden="1" outlineLevel="1" x14ac:dyDescent="0.2">
      <c r="B100" s="404" t="str">
        <f t="shared" ca="1" si="450"/>
        <v>Афиша-Мир, все страницы, динамика, 240х400 (второй экран)</v>
      </c>
      <c r="C100" s="676" t="str">
        <f t="shared" ca="1" si="451"/>
        <v>х1000</v>
      </c>
      <c r="D100" s="405">
        <f t="shared" ca="1" si="452"/>
        <v>300</v>
      </c>
      <c r="E100" s="405">
        <f t="shared" ca="1" si="453"/>
        <v>300</v>
      </c>
      <c r="F100" s="405">
        <f t="shared" ca="1" si="454"/>
        <v>300</v>
      </c>
      <c r="G100" s="406">
        <f t="shared" ca="1" si="455"/>
        <v>300</v>
      </c>
      <c r="H100" s="406">
        <f t="shared" ca="1" si="456"/>
        <v>300</v>
      </c>
      <c r="I100" s="406">
        <f t="shared" ca="1" si="457"/>
        <v>0</v>
      </c>
      <c r="J100" s="407">
        <f t="shared" ca="1" si="458"/>
        <v>0</v>
      </c>
      <c r="K100" s="423"/>
      <c r="L100" s="424"/>
      <c r="M100" s="424"/>
      <c r="N100" s="424"/>
      <c r="O100" s="424"/>
      <c r="P100" s="424"/>
      <c r="Q100" s="424"/>
      <c r="R100" s="424"/>
      <c r="S100" s="424"/>
      <c r="T100" s="424"/>
      <c r="U100" s="424"/>
      <c r="V100" s="425"/>
      <c r="W100" s="406">
        <f t="shared" ca="1" si="1"/>
        <v>0</v>
      </c>
      <c r="X100" s="406"/>
      <c r="Y100" s="411"/>
      <c r="Z100" s="412">
        <f t="shared" si="509"/>
        <v>0</v>
      </c>
      <c r="AA100" s="685"/>
      <c r="AB100" s="685"/>
      <c r="AC100" s="685"/>
      <c r="AD100" s="685"/>
      <c r="AE100" s="685"/>
      <c r="AF100" s="685"/>
      <c r="AG100" s="685"/>
      <c r="AH100" s="685"/>
      <c r="AI100" s="685"/>
      <c r="AJ100" s="685"/>
      <c r="AK100" s="685"/>
      <c r="AL100" s="685"/>
      <c r="AM100" s="686"/>
      <c r="AN100" s="351" t="s">
        <v>127</v>
      </c>
      <c r="AO100" s="351" t="str">
        <f t="shared" si="2"/>
        <v>Afisha.ru</v>
      </c>
      <c r="AP100" s="115">
        <f t="shared" si="409"/>
        <v>19</v>
      </c>
      <c r="AQ100" s="31">
        <f t="shared" ca="1" si="460"/>
        <v>0.25</v>
      </c>
      <c r="AR100" s="31">
        <f t="shared" ca="1" si="460"/>
        <v>0.15</v>
      </c>
      <c r="AS100" s="35">
        <v>0</v>
      </c>
      <c r="AT100" s="229">
        <v>0</v>
      </c>
      <c r="AU100" s="344">
        <f t="shared" ca="1" si="461"/>
        <v>300</v>
      </c>
      <c r="AV100" s="345">
        <f t="shared" ca="1" si="462"/>
        <v>300</v>
      </c>
      <c r="AW100" s="346">
        <f t="shared" ca="1" si="463"/>
        <v>300</v>
      </c>
      <c r="AX100" s="280"/>
      <c r="AY100" s="280"/>
      <c r="AZ100" s="347">
        <f t="shared" ca="1" si="464"/>
        <v>300</v>
      </c>
      <c r="BA100" s="348">
        <f t="shared" ca="1" si="465"/>
        <v>300</v>
      </c>
      <c r="BB100" s="347">
        <f t="shared" ca="1" si="466"/>
        <v>1</v>
      </c>
      <c r="BC100" s="37" t="str">
        <f t="shared" ca="1" si="466"/>
        <v>1000 контактов</v>
      </c>
      <c r="BD100" s="229" t="str">
        <f t="shared" ca="1" si="467"/>
        <v>х1000</v>
      </c>
      <c r="BE100" s="283">
        <f t="shared" ca="1" si="4"/>
        <v>0</v>
      </c>
      <c r="BF100" s="347">
        <f t="array" aca="1" ref="BF100" ca="1">SUM($K100:$V100*$BK100:$BV100)*$AZ100</f>
        <v>0</v>
      </c>
      <c r="BG100" s="347">
        <f t="array" aca="1" ref="BG100" ca="1">SUM($K100:$V100*$BY100:$CJ100*$BK100:$BV100)*$AZ100*$BX100</f>
        <v>0</v>
      </c>
      <c r="BH100" s="347">
        <f t="array" aca="1" ref="BH100" ca="1">SUM($K100:$V100*$BY100:$CJ100*$BK100:$BV100)*(1-$BE100)*$AZ100*$BX100</f>
        <v>0</v>
      </c>
      <c r="BI100" s="350">
        <f t="shared" ca="1" si="468"/>
        <v>0</v>
      </c>
      <c r="BJ100" s="275" t="str">
        <f t="shared" ca="1" si="469"/>
        <v>Да</v>
      </c>
      <c r="BK100" s="116">
        <f t="shared" ca="1" si="470"/>
        <v>0.8</v>
      </c>
      <c r="BL100" s="117">
        <f t="shared" ca="1" si="470"/>
        <v>0.9</v>
      </c>
      <c r="BM100" s="117">
        <f t="shared" ca="1" si="470"/>
        <v>1</v>
      </c>
      <c r="BN100" s="117">
        <f t="shared" ca="1" si="470"/>
        <v>1</v>
      </c>
      <c r="BO100" s="117">
        <f t="shared" ca="1" si="470"/>
        <v>1</v>
      </c>
      <c r="BP100" s="117">
        <f t="shared" ca="1" si="470"/>
        <v>1</v>
      </c>
      <c r="BQ100" s="117">
        <f t="shared" ca="1" si="470"/>
        <v>0.9</v>
      </c>
      <c r="BR100" s="117">
        <f t="shared" ca="1" si="470"/>
        <v>0.9</v>
      </c>
      <c r="BS100" s="117">
        <f t="shared" ca="1" si="470"/>
        <v>1.3</v>
      </c>
      <c r="BT100" s="117">
        <f t="shared" ca="1" si="470"/>
        <v>1.3</v>
      </c>
      <c r="BU100" s="117">
        <f t="shared" ca="1" si="470"/>
        <v>1.3</v>
      </c>
      <c r="BV100" s="278">
        <f t="shared" ca="1" si="470"/>
        <v>1.3</v>
      </c>
      <c r="BW100" s="280">
        <f t="shared" si="6"/>
        <v>19</v>
      </c>
      <c r="BX100" s="118">
        <f>IF($AN100="Ya",100%,100%+extraDelayZ)</f>
        <v>1</v>
      </c>
      <c r="BY100" s="263">
        <f t="shared" si="510"/>
        <v>1</v>
      </c>
      <c r="BZ100" s="264">
        <f t="shared" si="511"/>
        <v>1</v>
      </c>
      <c r="CA100" s="264">
        <f t="shared" si="512"/>
        <v>1</v>
      </c>
      <c r="CB100" s="264">
        <f t="shared" si="513"/>
        <v>1</v>
      </c>
      <c r="CC100" s="264">
        <f t="shared" si="514"/>
        <v>1</v>
      </c>
      <c r="CD100" s="264">
        <f t="shared" si="515"/>
        <v>1</v>
      </c>
      <c r="CE100" s="264">
        <f t="shared" si="516"/>
        <v>1</v>
      </c>
      <c r="CF100" s="264">
        <f t="shared" si="517"/>
        <v>1</v>
      </c>
      <c r="CG100" s="264">
        <f t="shared" si="518"/>
        <v>1</v>
      </c>
      <c r="CH100" s="264">
        <f t="shared" si="519"/>
        <v>1</v>
      </c>
      <c r="CI100" s="264">
        <f t="shared" si="520"/>
        <v>1</v>
      </c>
      <c r="CJ100" s="265">
        <f t="shared" si="521"/>
        <v>1</v>
      </c>
      <c r="CK100" s="269">
        <f t="array" ref="CK100">IF(ISERROR(SUM($K100:$V100*$BY100:$CJ100)/SUM($K100:$V100)),1,SUM($K100:$V100*$BY100:$CJ100)/SUM($K100:$V100))-1</f>
        <v>0</v>
      </c>
      <c r="CL100" s="234"/>
    </row>
    <row r="101" spans="1:90" ht="15" collapsed="1" x14ac:dyDescent="0.2">
      <c r="A101" s="391"/>
      <c r="B101" s="392" t="str">
        <f>CONCATENATE($AO101,IF($AX101&gt;0,CONCATENATE("  (план ",TEXT(INDEX(indBudX,MATCH($AN101,indPrefixX,0)),"# ##0")," руб.)"),""))</f>
        <v>Rusnovosti.ru</v>
      </c>
      <c r="C101" s="650" t="s">
        <v>363</v>
      </c>
      <c r="D101" s="393"/>
      <c r="E101" s="394"/>
      <c r="F101" s="394"/>
      <c r="G101" s="395"/>
      <c r="H101" s="395"/>
      <c r="I101" s="395">
        <f t="shared" ca="1" si="457"/>
        <v>0</v>
      </c>
      <c r="J101" s="396">
        <f ca="1">$BH101</f>
        <v>0</v>
      </c>
      <c r="K101" s="397"/>
      <c r="L101" s="398"/>
      <c r="M101" s="398"/>
      <c r="N101" s="398"/>
      <c r="O101" s="398"/>
      <c r="P101" s="398"/>
      <c r="Q101" s="398"/>
      <c r="R101" s="398"/>
      <c r="S101" s="398"/>
      <c r="T101" s="398"/>
      <c r="U101" s="398"/>
      <c r="V101" s="399"/>
      <c r="W101" s="395">
        <f t="shared" ca="1" si="1"/>
        <v>0</v>
      </c>
      <c r="X101" s="576"/>
      <c r="Y101" s="400">
        <f ca="1">$BE101</f>
        <v>0</v>
      </c>
      <c r="Z101" s="401"/>
      <c r="AA101" s="402"/>
      <c r="AB101" s="402"/>
      <c r="AC101" s="402"/>
      <c r="AD101" s="402"/>
      <c r="AE101" s="402"/>
      <c r="AF101" s="402"/>
      <c r="AG101" s="402"/>
      <c r="AH101" s="402"/>
      <c r="AI101" s="402"/>
      <c r="AJ101" s="402"/>
      <c r="AK101" s="402"/>
      <c r="AL101" s="402"/>
      <c r="AM101" s="403"/>
      <c r="AN101" s="130" t="s">
        <v>646</v>
      </c>
      <c r="AO101" s="130" t="str">
        <f t="shared" si="2"/>
        <v>Rusnovosti.ru</v>
      </c>
      <c r="AP101" s="119">
        <f t="shared" si="409"/>
        <v>3</v>
      </c>
      <c r="AQ101" s="120"/>
      <c r="AR101" s="120"/>
      <c r="AS101" s="121"/>
      <c r="AT101" s="228"/>
      <c r="AU101" s="232"/>
      <c r="AV101" s="179"/>
      <c r="AW101" s="233"/>
      <c r="AX101" s="279">
        <f>IF(ISERROR(INDEX(indBudX,MATCH($AN101,indPrefixX,0))),0,INDEX(indBudX,MATCH($AN101,indPrefixX,0)))</f>
        <v>0</v>
      </c>
      <c r="AY101" s="279">
        <f>IF(ISNUMBER($X101),$X101,0)</f>
        <v>0</v>
      </c>
      <c r="AZ101" s="123"/>
      <c r="BA101" s="125"/>
      <c r="BB101" s="123"/>
      <c r="BC101" s="124"/>
      <c r="BD101" s="464"/>
      <c r="BE101" s="282">
        <f t="shared" ca="1" si="4"/>
        <v>0</v>
      </c>
      <c r="BF101" s="123">
        <f t="shared" ref="BF101:BI101" ca="1" si="574">SUM(OFFSET(BF101,1,0,$AP101-1,1))</f>
        <v>0</v>
      </c>
      <c r="BG101" s="123">
        <f t="shared" ca="1" si="574"/>
        <v>0</v>
      </c>
      <c r="BH101" s="123">
        <f t="shared" ca="1" si="574"/>
        <v>0</v>
      </c>
      <c r="BI101" s="273">
        <f t="shared" ca="1" si="574"/>
        <v>0</v>
      </c>
      <c r="BJ101" s="274"/>
      <c r="BK101" s="126"/>
      <c r="BL101" s="127"/>
      <c r="BM101" s="127"/>
      <c r="BN101" s="127"/>
      <c r="BO101" s="127"/>
      <c r="BP101" s="127"/>
      <c r="BQ101" s="127"/>
      <c r="BR101" s="127"/>
      <c r="BS101" s="127"/>
      <c r="BT101" s="127"/>
      <c r="BU101" s="127"/>
      <c r="BV101" s="277"/>
      <c r="BW101" s="279">
        <f t="shared" si="6"/>
        <v>1</v>
      </c>
      <c r="BX101" s="128"/>
      <c r="BY101" s="260"/>
      <c r="BZ101" s="261"/>
      <c r="CA101" s="261"/>
      <c r="CB101" s="261"/>
      <c r="CC101" s="261"/>
      <c r="CD101" s="261"/>
      <c r="CE101" s="261"/>
      <c r="CF101" s="261"/>
      <c r="CG101" s="261"/>
      <c r="CH101" s="261"/>
      <c r="CI101" s="261"/>
      <c r="CJ101" s="262"/>
      <c r="CK101" s="270"/>
      <c r="CL101" s="234"/>
    </row>
    <row r="102" spans="1:90" ht="12.75" hidden="1" outlineLevel="1" x14ac:dyDescent="0.2">
      <c r="B102" s="404" t="str">
        <f ca="1">INDEX(INDIRECT(LOWER($AN102)&amp;"Price"),$BW102,2)</f>
        <v>Пакет "Охват 500К", 240х400</v>
      </c>
      <c r="C102" s="649" t="str">
        <f t="shared" ref="C102:C126" ca="1" si="575">$BD102</f>
        <v>Пакет</v>
      </c>
      <c r="D102" s="405">
        <f ca="1">$AU102</f>
        <v>350</v>
      </c>
      <c r="E102" s="405">
        <f ca="1">$AV102</f>
        <v>350</v>
      </c>
      <c r="F102" s="405">
        <f ca="1">$AW102</f>
        <v>350</v>
      </c>
      <c r="G102" s="406">
        <f ca="1">$AZ102</f>
        <v>175000</v>
      </c>
      <c r="H102" s="406">
        <f ca="1">$BA102</f>
        <v>175000</v>
      </c>
      <c r="I102" s="406">
        <f t="shared" ref="I102:I127" ca="1" si="576">$BG102</f>
        <v>0</v>
      </c>
      <c r="J102" s="407">
        <f t="shared" ref="J102:J126" ca="1" si="577">$BH102</f>
        <v>0</v>
      </c>
      <c r="K102" s="408"/>
      <c r="L102" s="409"/>
      <c r="M102" s="409"/>
      <c r="N102" s="409"/>
      <c r="O102" s="409"/>
      <c r="P102" s="409"/>
      <c r="Q102" s="409"/>
      <c r="R102" s="409"/>
      <c r="S102" s="409"/>
      <c r="T102" s="409"/>
      <c r="U102" s="409"/>
      <c r="V102" s="410"/>
      <c r="W102" s="406">
        <f t="shared" ca="1" si="1"/>
        <v>0</v>
      </c>
      <c r="X102" s="406"/>
      <c r="Y102" s="411"/>
      <c r="Z102" s="412">
        <f t="shared" ref="Z102:Z103" si="578">CK102</f>
        <v>0</v>
      </c>
      <c r="AA102" s="413"/>
      <c r="AB102" s="413"/>
      <c r="AC102" s="413"/>
      <c r="AD102" s="413"/>
      <c r="AE102" s="413"/>
      <c r="AF102" s="413"/>
      <c r="AG102" s="413"/>
      <c r="AH102" s="413"/>
      <c r="AI102" s="413"/>
      <c r="AJ102" s="413"/>
      <c r="AK102" s="413"/>
      <c r="AL102" s="413"/>
      <c r="AM102" s="572"/>
      <c r="AN102" s="351" t="s">
        <v>646</v>
      </c>
      <c r="AO102" s="351" t="str">
        <f t="shared" si="2"/>
        <v>Rusnovosti.ru</v>
      </c>
      <c r="AP102" s="115">
        <f t="shared" si="409"/>
        <v>3</v>
      </c>
      <c r="AQ102" s="31">
        <f t="shared" ref="AQ102:AR103" ca="1" si="579">HLOOKUP(AQ$10,INDIRECT(LOWER($AN102)&amp;"Price"),$BW102,FALSE)</f>
        <v>0.25</v>
      </c>
      <c r="AR102" s="31" t="str">
        <f t="shared" ca="1" si="579"/>
        <v>-</v>
      </c>
      <c r="AS102" s="35">
        <v>0</v>
      </c>
      <c r="AT102" s="229">
        <v>0</v>
      </c>
      <c r="AU102" s="344">
        <f ca="1">HLOOKUP(AU$10,INDIRECT(LOWER($AN102)&amp;"Price"),$BW102,FALSE)</f>
        <v>350</v>
      </c>
      <c r="AV102" s="345">
        <f ca="1">IF(ISERROR($BG102/$BI102),$AU102,$BG102/$BI102)</f>
        <v>350</v>
      </c>
      <c r="AW102" s="346">
        <f ca="1">$AV102*(1-$BE102)</f>
        <v>350</v>
      </c>
      <c r="AX102" s="280"/>
      <c r="AY102" s="280"/>
      <c r="AZ102" s="347">
        <f ca="1">HLOOKUP(AZ$10,INDIRECT(LOWER($AN102)&amp;"Price"),$BW102,FALSE)</f>
        <v>175000</v>
      </c>
      <c r="BA102" s="348">
        <f ca="1">$AZ102*(1-$BE102)</f>
        <v>175000</v>
      </c>
      <c r="BB102" s="347">
        <f t="shared" ref="BB102:BC103" ca="1" si="580">HLOOKUP(BB$10,INDIRECT(LOWER($AN102)&amp;"Price"),$BW102,FALSE)</f>
        <v>500</v>
      </c>
      <c r="BC102" s="37" t="str">
        <f t="shared" ca="1" si="580"/>
        <v>Пакет</v>
      </c>
      <c r="BD102" s="229" t="str">
        <f ca="1">IF(ISERROR(VLOOKUP($BC102,typeIndexPair,2,FALSE)),"",VLOOKUP($BC102,typeIndexPair,2,FALSE))</f>
        <v>Пакет</v>
      </c>
      <c r="BE102" s="283">
        <f t="shared" ca="1" si="4"/>
        <v>0</v>
      </c>
      <c r="BF102" s="347">
        <f t="array" aca="1" ref="BF102" ca="1">SUM($K102:$V102*$BK102:$BV102)*$AZ102</f>
        <v>0</v>
      </c>
      <c r="BG102" s="347">
        <f t="array" aca="1" ref="BG102" ca="1">SUM($K102:$V102*$BY102:$CJ102*$BK102:$BV102)*$AZ102*$BX102</f>
        <v>0</v>
      </c>
      <c r="BH102" s="347">
        <f t="array" aca="1" ref="BH102" ca="1">SUM($K102:$V102*$BY102:$CJ102*$BK102:$BV102)*(1-$BE102)*$AZ102*$BX102</f>
        <v>0</v>
      </c>
      <c r="BI102" s="350">
        <f ca="1">SUM($K102:$V102)*$BB102</f>
        <v>0</v>
      </c>
      <c r="BJ102" s="275" t="str">
        <f ca="1">IF(ISERROR(HLOOKUP(BJ$10,INDIRECT(LOWER($AN102)&amp;"Price"),$BW102,FALSE)),"Да",HLOOKUP(BJ$10,INDIRECT(LOWER($AN102)&amp;"Price"),$BW102,FALSE))</f>
        <v>Да</v>
      </c>
      <c r="BK102" s="116">
        <f t="shared" ref="BK102:BV126" ca="1" si="581">IF($BJ102="Особ.",INDEX(INDIRECT(LOWER($AN102)&amp;"Season2"),BK$9),IF($BJ102="Да",INDEX(INDIRECT(LOWER($AN102)&amp;"Season"),BK$9),100%))</f>
        <v>0.8</v>
      </c>
      <c r="BL102" s="117">
        <f t="shared" ca="1" si="581"/>
        <v>0.9</v>
      </c>
      <c r="BM102" s="117">
        <f t="shared" ca="1" si="581"/>
        <v>1</v>
      </c>
      <c r="BN102" s="117">
        <f t="shared" ca="1" si="581"/>
        <v>1</v>
      </c>
      <c r="BO102" s="117">
        <f t="shared" ca="1" si="581"/>
        <v>1</v>
      </c>
      <c r="BP102" s="117">
        <f t="shared" ca="1" si="581"/>
        <v>1</v>
      </c>
      <c r="BQ102" s="117">
        <f t="shared" ca="1" si="581"/>
        <v>0.9</v>
      </c>
      <c r="BR102" s="117">
        <f t="shared" ca="1" si="581"/>
        <v>0.9</v>
      </c>
      <c r="BS102" s="117">
        <f t="shared" ca="1" si="581"/>
        <v>1.3</v>
      </c>
      <c r="BT102" s="117">
        <f t="shared" ca="1" si="581"/>
        <v>1.3</v>
      </c>
      <c r="BU102" s="117">
        <f t="shared" ca="1" si="581"/>
        <v>1.3</v>
      </c>
      <c r="BV102" s="278">
        <f t="shared" ca="1" si="581"/>
        <v>1.3</v>
      </c>
      <c r="BW102" s="280">
        <f t="shared" si="6"/>
        <v>2</v>
      </c>
      <c r="BX102" s="118">
        <f>IF($AN102="Ya",100%,100%+extraDelayZ)</f>
        <v>1</v>
      </c>
      <c r="BY102" s="263">
        <f t="shared" ref="BY102:BY103" si="582">(1+AA102)</f>
        <v>1</v>
      </c>
      <c r="BZ102" s="264">
        <f t="shared" ref="BZ102:BZ103" si="583">(1+AB102)</f>
        <v>1</v>
      </c>
      <c r="CA102" s="264">
        <f t="shared" ref="CA102:CA103" si="584">(1+AC102)</f>
        <v>1</v>
      </c>
      <c r="CB102" s="264">
        <f t="shared" ref="CB102:CB103" si="585">(1+AD102)</f>
        <v>1</v>
      </c>
      <c r="CC102" s="264">
        <f t="shared" ref="CC102:CC103" si="586">(1+AE102)</f>
        <v>1</v>
      </c>
      <c r="CD102" s="264">
        <f t="shared" ref="CD102:CD103" si="587">(1+AF102)</f>
        <v>1</v>
      </c>
      <c r="CE102" s="264">
        <f t="shared" ref="CE102:CE103" si="588">(1+AG102)</f>
        <v>1</v>
      </c>
      <c r="CF102" s="264">
        <f t="shared" ref="CF102:CF103" si="589">(1+AH102)</f>
        <v>1</v>
      </c>
      <c r="CG102" s="264">
        <f t="shared" ref="CG102:CG103" si="590">(1+AI102)</f>
        <v>1</v>
      </c>
      <c r="CH102" s="264">
        <f t="shared" ref="CH102:CH103" si="591">(1+AJ102)</f>
        <v>1</v>
      </c>
      <c r="CI102" s="264">
        <f t="shared" ref="CI102:CI103" si="592">(1+AK102)</f>
        <v>1</v>
      </c>
      <c r="CJ102" s="265">
        <f t="shared" ref="CJ102:CJ103" si="593">(1+AL102)</f>
        <v>1</v>
      </c>
      <c r="CK102" s="269">
        <f t="array" ref="CK102">IF(ISERROR(SUM($K102:$V102*$BY102:$CJ102)/SUM($K102:$V102)),1,SUM($K102:$V102*$BY102:$CJ102)/SUM($K102:$V102))-1</f>
        <v>0</v>
      </c>
      <c r="CL102" s="234"/>
    </row>
    <row r="103" spans="1:90" ht="12.75" hidden="1" outlineLevel="1" x14ac:dyDescent="0.2">
      <c r="B103" s="414" t="str">
        <f ca="1">INDEX(INDIRECT(LOWER($AN103)&amp;"Price"),$BW103,2)</f>
        <v>Динамика, 240х400</v>
      </c>
      <c r="C103" s="649" t="str">
        <f t="shared" ca="1" si="575"/>
        <v>х1000</v>
      </c>
      <c r="D103" s="415">
        <f ca="1">$AU103</f>
        <v>400</v>
      </c>
      <c r="E103" s="415">
        <f ca="1">$AV103</f>
        <v>400</v>
      </c>
      <c r="F103" s="415">
        <f ca="1">$AW103</f>
        <v>400</v>
      </c>
      <c r="G103" s="416">
        <f ca="1">$AZ103</f>
        <v>400</v>
      </c>
      <c r="H103" s="416">
        <f ca="1">$BA103</f>
        <v>400</v>
      </c>
      <c r="I103" s="406">
        <f t="shared" ca="1" si="576"/>
        <v>0</v>
      </c>
      <c r="J103" s="407">
        <f t="shared" ca="1" si="577"/>
        <v>0</v>
      </c>
      <c r="K103" s="417"/>
      <c r="L103" s="418"/>
      <c r="M103" s="418"/>
      <c r="N103" s="418"/>
      <c r="O103" s="418"/>
      <c r="P103" s="418"/>
      <c r="Q103" s="418"/>
      <c r="R103" s="418"/>
      <c r="S103" s="418"/>
      <c r="T103" s="418"/>
      <c r="U103" s="418"/>
      <c r="V103" s="419"/>
      <c r="W103" s="416">
        <f t="shared" ca="1" si="1"/>
        <v>0</v>
      </c>
      <c r="X103" s="416"/>
      <c r="Y103" s="420"/>
      <c r="Z103" s="412">
        <f t="shared" si="578"/>
        <v>0</v>
      </c>
      <c r="AA103" s="421"/>
      <c r="AB103" s="421"/>
      <c r="AC103" s="421"/>
      <c r="AD103" s="421"/>
      <c r="AE103" s="421"/>
      <c r="AF103" s="421"/>
      <c r="AG103" s="421"/>
      <c r="AH103" s="421"/>
      <c r="AI103" s="421"/>
      <c r="AJ103" s="421"/>
      <c r="AK103" s="421"/>
      <c r="AL103" s="421"/>
      <c r="AM103" s="573"/>
      <c r="AN103" s="351" t="s">
        <v>646</v>
      </c>
      <c r="AO103" s="351" t="str">
        <f t="shared" si="2"/>
        <v>Rusnovosti.ru</v>
      </c>
      <c r="AP103" s="115">
        <f t="shared" si="409"/>
        <v>3</v>
      </c>
      <c r="AQ103" s="31">
        <f t="shared" ca="1" si="579"/>
        <v>0.25</v>
      </c>
      <c r="AR103" s="31" t="str">
        <f t="shared" ca="1" si="579"/>
        <v>-</v>
      </c>
      <c r="AS103" s="35">
        <v>0</v>
      </c>
      <c r="AT103" s="229">
        <v>0</v>
      </c>
      <c r="AU103" s="344">
        <f ca="1">HLOOKUP(AU$10,INDIRECT(LOWER($AN103)&amp;"Price"),$BW103,FALSE)</f>
        <v>400</v>
      </c>
      <c r="AV103" s="345">
        <f ca="1">IF(ISERROR($BG103/$BI103),$AU103,$BG103/$BI103)</f>
        <v>400</v>
      </c>
      <c r="AW103" s="346">
        <f ca="1">$AV103*(1-$BE103)</f>
        <v>400</v>
      </c>
      <c r="AX103" s="280"/>
      <c r="AY103" s="280"/>
      <c r="AZ103" s="347">
        <f ca="1">HLOOKUP(AZ$10,INDIRECT(LOWER($AN103)&amp;"Price"),$BW103,FALSE)</f>
        <v>400</v>
      </c>
      <c r="BA103" s="348">
        <f ca="1">$AZ103*(1-$BE103)</f>
        <v>400</v>
      </c>
      <c r="BB103" s="347">
        <f t="shared" ca="1" si="580"/>
        <v>1</v>
      </c>
      <c r="BC103" s="37" t="str">
        <f t="shared" ca="1" si="580"/>
        <v>1000 контактов</v>
      </c>
      <c r="BD103" s="229" t="str">
        <f ca="1">IF(ISERROR(VLOOKUP($BC103,typeIndexPair,2,FALSE)),"",VLOOKUP($BC103,typeIndexPair,2,FALSE))</f>
        <v>х1000</v>
      </c>
      <c r="BE103" s="283">
        <f t="shared" ca="1" si="4"/>
        <v>0</v>
      </c>
      <c r="BF103" s="347">
        <f t="array" aca="1" ref="BF103" ca="1">SUM($K103:$V103*$BK103:$BV103)*$AZ103</f>
        <v>0</v>
      </c>
      <c r="BG103" s="347">
        <f t="array" aca="1" ref="BG103" ca="1">SUM($K103:$V103*$BY103:$CJ103*$BK103:$BV103)*$AZ103*$BX103</f>
        <v>0</v>
      </c>
      <c r="BH103" s="347">
        <f t="array" aca="1" ref="BH103" ca="1">SUM($K103:$V103*$BY103:$CJ103*$BK103:$BV103)*(1-$BE103)*$AZ103*$BX103</f>
        <v>0</v>
      </c>
      <c r="BI103" s="350">
        <f ca="1">SUM($K103:$V103)*$BB103</f>
        <v>0</v>
      </c>
      <c r="BJ103" s="275" t="str">
        <f ca="1">IF(ISERROR(HLOOKUP(BJ$10,INDIRECT(LOWER($AN103)&amp;"Price"),$BW103,FALSE)),"Да",HLOOKUP(BJ$10,INDIRECT(LOWER($AN103)&amp;"Price"),$BW103,FALSE))</f>
        <v>Да</v>
      </c>
      <c r="BK103" s="116">
        <f t="shared" ca="1" si="581"/>
        <v>0.8</v>
      </c>
      <c r="BL103" s="117">
        <f t="shared" ca="1" si="581"/>
        <v>0.9</v>
      </c>
      <c r="BM103" s="117">
        <f t="shared" ca="1" si="581"/>
        <v>1</v>
      </c>
      <c r="BN103" s="117">
        <f t="shared" ca="1" si="581"/>
        <v>1</v>
      </c>
      <c r="BO103" s="117">
        <f t="shared" ca="1" si="581"/>
        <v>1</v>
      </c>
      <c r="BP103" s="117">
        <f t="shared" ca="1" si="581"/>
        <v>1</v>
      </c>
      <c r="BQ103" s="117">
        <f t="shared" ca="1" si="581"/>
        <v>0.9</v>
      </c>
      <c r="BR103" s="117">
        <f t="shared" ca="1" si="581"/>
        <v>0.9</v>
      </c>
      <c r="BS103" s="117">
        <f t="shared" ca="1" si="581"/>
        <v>1.3</v>
      </c>
      <c r="BT103" s="117">
        <f t="shared" ca="1" si="581"/>
        <v>1.3</v>
      </c>
      <c r="BU103" s="117">
        <f t="shared" ca="1" si="581"/>
        <v>1.3</v>
      </c>
      <c r="BV103" s="278">
        <f t="shared" ca="1" si="581"/>
        <v>1.3</v>
      </c>
      <c r="BW103" s="280">
        <f t="shared" si="6"/>
        <v>3</v>
      </c>
      <c r="BX103" s="118">
        <f>IF($AN103="Ya",100%,100%+extraDelayZ)</f>
        <v>1</v>
      </c>
      <c r="BY103" s="263">
        <f t="shared" si="582"/>
        <v>1</v>
      </c>
      <c r="BZ103" s="264">
        <f t="shared" si="583"/>
        <v>1</v>
      </c>
      <c r="CA103" s="264">
        <f t="shared" si="584"/>
        <v>1</v>
      </c>
      <c r="CB103" s="264">
        <f t="shared" si="585"/>
        <v>1</v>
      </c>
      <c r="CC103" s="264">
        <f t="shared" si="586"/>
        <v>1</v>
      </c>
      <c r="CD103" s="264">
        <f t="shared" si="587"/>
        <v>1</v>
      </c>
      <c r="CE103" s="264">
        <f t="shared" si="588"/>
        <v>1</v>
      </c>
      <c r="CF103" s="264">
        <f t="shared" si="589"/>
        <v>1</v>
      </c>
      <c r="CG103" s="264">
        <f t="shared" si="590"/>
        <v>1</v>
      </c>
      <c r="CH103" s="264">
        <f t="shared" si="591"/>
        <v>1</v>
      </c>
      <c r="CI103" s="264">
        <f t="shared" si="592"/>
        <v>1</v>
      </c>
      <c r="CJ103" s="265">
        <f t="shared" si="593"/>
        <v>1</v>
      </c>
      <c r="CK103" s="269">
        <f t="array" ref="CK103">IF(ISERROR(SUM($K103:$V103*$BY103:$CJ103)/SUM($K103:$V103)),1,SUM($K103:$V103*$BY103:$CJ103)/SUM($K103:$V103))-1</f>
        <v>0</v>
      </c>
      <c r="CL103" s="234"/>
    </row>
    <row r="104" spans="1:90" ht="15" collapsed="1" x14ac:dyDescent="0.2">
      <c r="A104" s="391"/>
      <c r="B104" s="392" t="str">
        <f>CONCATENATE($AO104,IF($AX104&gt;0,CONCATENATE("  (план ",TEXT(INDEX(indBudX,MATCH($AN104,indPrefixX,0)),"# ##0")," руб.)"),""))</f>
        <v>Avito.ru</v>
      </c>
      <c r="C104" s="650" t="s">
        <v>363</v>
      </c>
      <c r="D104" s="393"/>
      <c r="E104" s="394"/>
      <c r="F104" s="394"/>
      <c r="G104" s="395"/>
      <c r="H104" s="395"/>
      <c r="I104" s="395">
        <f t="shared" ca="1" si="576"/>
        <v>0</v>
      </c>
      <c r="J104" s="396">
        <f ca="1">$BH104</f>
        <v>0</v>
      </c>
      <c r="K104" s="397"/>
      <c r="L104" s="398"/>
      <c r="M104" s="398"/>
      <c r="N104" s="398"/>
      <c r="O104" s="398"/>
      <c r="P104" s="398"/>
      <c r="Q104" s="398"/>
      <c r="R104" s="398"/>
      <c r="S104" s="398"/>
      <c r="T104" s="398"/>
      <c r="U104" s="398"/>
      <c r="V104" s="399"/>
      <c r="W104" s="395">
        <f t="shared" ca="1" si="1"/>
        <v>0</v>
      </c>
      <c r="X104" s="576"/>
      <c r="Y104" s="400">
        <f ca="1">$BE104</f>
        <v>0</v>
      </c>
      <c r="Z104" s="401"/>
      <c r="AA104" s="402"/>
      <c r="AB104" s="402"/>
      <c r="AC104" s="402"/>
      <c r="AD104" s="402"/>
      <c r="AE104" s="402"/>
      <c r="AF104" s="402"/>
      <c r="AG104" s="402"/>
      <c r="AH104" s="402"/>
      <c r="AI104" s="402"/>
      <c r="AJ104" s="402"/>
      <c r="AK104" s="402"/>
      <c r="AL104" s="402"/>
      <c r="AM104" s="403"/>
      <c r="AN104" s="130" t="s">
        <v>618</v>
      </c>
      <c r="AO104" s="130" t="str">
        <f t="shared" si="2"/>
        <v>Avito.ru</v>
      </c>
      <c r="AP104" s="119">
        <f t="shared" si="409"/>
        <v>9</v>
      </c>
      <c r="AQ104" s="120"/>
      <c r="AR104" s="120"/>
      <c r="AS104" s="121"/>
      <c r="AT104" s="228"/>
      <c r="AU104" s="232"/>
      <c r="AV104" s="179"/>
      <c r="AW104" s="233"/>
      <c r="AX104" s="279">
        <f>IF(ISERROR(INDEX(indBudX,MATCH($AN104,indPrefixX,0))),0,INDEX(indBudX,MATCH($AN104,indPrefixX,0)))</f>
        <v>0</v>
      </c>
      <c r="AY104" s="279">
        <f>IF(ISNUMBER($X104),$X104,0)</f>
        <v>0</v>
      </c>
      <c r="AZ104" s="123"/>
      <c r="BA104" s="125"/>
      <c r="BB104" s="123"/>
      <c r="BC104" s="124"/>
      <c r="BD104" s="464"/>
      <c r="BE104" s="282">
        <f t="shared" ca="1" si="4"/>
        <v>0</v>
      </c>
      <c r="BF104" s="123">
        <f t="shared" ref="BF104:BI104" ca="1" si="594">SUM(OFFSET(BF104,1,0,$AP104-1,1))</f>
        <v>0</v>
      </c>
      <c r="BG104" s="123">
        <f t="shared" ca="1" si="594"/>
        <v>0</v>
      </c>
      <c r="BH104" s="123">
        <f t="shared" ca="1" si="594"/>
        <v>0</v>
      </c>
      <c r="BI104" s="273">
        <f t="shared" ca="1" si="594"/>
        <v>0</v>
      </c>
      <c r="BJ104" s="274"/>
      <c r="BK104" s="126"/>
      <c r="BL104" s="127"/>
      <c r="BM104" s="127"/>
      <c r="BN104" s="127"/>
      <c r="BO104" s="127"/>
      <c r="BP104" s="127"/>
      <c r="BQ104" s="127"/>
      <c r="BR104" s="127"/>
      <c r="BS104" s="127"/>
      <c r="BT104" s="127"/>
      <c r="BU104" s="127"/>
      <c r="BV104" s="277"/>
      <c r="BW104" s="279">
        <f t="shared" si="6"/>
        <v>1</v>
      </c>
      <c r="BX104" s="128"/>
      <c r="BY104" s="260"/>
      <c r="BZ104" s="261"/>
      <c r="CA104" s="261"/>
      <c r="CB104" s="261"/>
      <c r="CC104" s="261"/>
      <c r="CD104" s="261"/>
      <c r="CE104" s="261"/>
      <c r="CF104" s="261"/>
      <c r="CG104" s="261"/>
      <c r="CH104" s="261"/>
      <c r="CI104" s="261"/>
      <c r="CJ104" s="262"/>
      <c r="CK104" s="270"/>
      <c r="CL104" s="234"/>
    </row>
    <row r="105" spans="1:90" ht="12.75" hidden="1" outlineLevel="1" x14ac:dyDescent="0.2">
      <c r="B105" s="404" t="str">
        <f t="shared" ref="B105:B112" ca="1" si="595">INDEX(INDIRECT(LOWER($AN105)&amp;"Price"),$BW105,2)</f>
        <v>Пакет "Федеральный 5000К", 1000х120</v>
      </c>
      <c r="C105" s="676" t="str">
        <f t="shared" ca="1" si="575"/>
        <v>Пакет</v>
      </c>
      <c r="D105" s="405">
        <f t="shared" ref="D105:D112" ca="1" si="596">$AU105</f>
        <v>150</v>
      </c>
      <c r="E105" s="405">
        <f t="shared" ref="E105:E112" ca="1" si="597">$AV105</f>
        <v>150</v>
      </c>
      <c r="F105" s="405">
        <f t="shared" ref="F105:F112" ca="1" si="598">$AW105</f>
        <v>150</v>
      </c>
      <c r="G105" s="406">
        <f t="shared" ref="G105:G112" ca="1" si="599">$AZ105</f>
        <v>750000</v>
      </c>
      <c r="H105" s="406">
        <f t="shared" ref="H105:H112" ca="1" si="600">$BA105</f>
        <v>750000</v>
      </c>
      <c r="I105" s="406">
        <f t="shared" ca="1" si="576"/>
        <v>0</v>
      </c>
      <c r="J105" s="407">
        <f t="shared" ca="1" si="577"/>
        <v>0</v>
      </c>
      <c r="K105" s="408"/>
      <c r="L105" s="409"/>
      <c r="M105" s="409"/>
      <c r="N105" s="409"/>
      <c r="O105" s="409"/>
      <c r="P105" s="409"/>
      <c r="Q105" s="409"/>
      <c r="R105" s="409"/>
      <c r="S105" s="409"/>
      <c r="T105" s="409"/>
      <c r="U105" s="409"/>
      <c r="V105" s="410"/>
      <c r="W105" s="406">
        <f t="shared" ca="1" si="1"/>
        <v>0</v>
      </c>
      <c r="X105" s="406"/>
      <c r="Y105" s="411"/>
      <c r="Z105" s="412">
        <f t="shared" ref="Z105:Z112" si="601">CK105</f>
        <v>0</v>
      </c>
      <c r="AA105" s="413"/>
      <c r="AB105" s="413"/>
      <c r="AC105" s="413"/>
      <c r="AD105" s="413"/>
      <c r="AE105" s="413"/>
      <c r="AF105" s="413"/>
      <c r="AG105" s="413"/>
      <c r="AH105" s="413"/>
      <c r="AI105" s="413"/>
      <c r="AJ105" s="413"/>
      <c r="AK105" s="413"/>
      <c r="AL105" s="413"/>
      <c r="AM105" s="572"/>
      <c r="AN105" s="351" t="s">
        <v>618</v>
      </c>
      <c r="AO105" s="351" t="str">
        <f t="shared" si="2"/>
        <v>Avito.ru</v>
      </c>
      <c r="AP105" s="115">
        <f t="shared" si="409"/>
        <v>9</v>
      </c>
      <c r="AQ105" s="31" t="str">
        <f t="shared" ref="AQ105:AR126" ca="1" si="602">HLOOKUP(AQ$10,INDIRECT(LOWER($AN105)&amp;"Price"),$BW105,FALSE)</f>
        <v>-</v>
      </c>
      <c r="AR105" s="31" t="str">
        <f t="shared" ca="1" si="602"/>
        <v>Вкл.</v>
      </c>
      <c r="AS105" s="35">
        <v>0</v>
      </c>
      <c r="AT105" s="229">
        <v>0</v>
      </c>
      <c r="AU105" s="344">
        <f t="shared" ref="AU105:AU112" ca="1" si="603">HLOOKUP(AU$10,INDIRECT(LOWER($AN105)&amp;"Price"),$BW105,FALSE)</f>
        <v>150</v>
      </c>
      <c r="AV105" s="345">
        <f t="shared" ref="AV105:AV112" ca="1" si="604">IF(ISERROR($BG105/$BI105),$AU105,$BG105/$BI105)</f>
        <v>150</v>
      </c>
      <c r="AW105" s="346">
        <f t="shared" ref="AW105:AW112" ca="1" si="605">$AV105*(1-$BE105)</f>
        <v>150</v>
      </c>
      <c r="AX105" s="280"/>
      <c r="AY105" s="280"/>
      <c r="AZ105" s="347">
        <f t="shared" ref="AZ105:AZ112" ca="1" si="606">HLOOKUP(AZ$10,INDIRECT(LOWER($AN105)&amp;"Price"),$BW105,FALSE)</f>
        <v>750000</v>
      </c>
      <c r="BA105" s="348">
        <f t="shared" ref="BA105:BA112" ca="1" si="607">$AZ105*(1-$BE105)</f>
        <v>750000</v>
      </c>
      <c r="BB105" s="347">
        <f t="shared" ref="BB105:BC126" ca="1" si="608">HLOOKUP(BB$10,INDIRECT(LOWER($AN105)&amp;"Price"),$BW105,FALSE)</f>
        <v>5000</v>
      </c>
      <c r="BC105" s="37" t="str">
        <f t="shared" ca="1" si="608"/>
        <v>Пакет</v>
      </c>
      <c r="BD105" s="229" t="str">
        <f t="shared" ref="BD105:BD112" ca="1" si="609">IF(ISERROR(VLOOKUP($BC105,typeIndexPair,2,FALSE)),"",VLOOKUP($BC105,typeIndexPair,2,FALSE))</f>
        <v>Пакет</v>
      </c>
      <c r="BE105" s="283">
        <f t="shared" ca="1" si="4"/>
        <v>0</v>
      </c>
      <c r="BF105" s="347">
        <f t="array" aca="1" ref="BF105" ca="1">SUM($K105:$V105*$BK105:$BV105)*$AZ105</f>
        <v>0</v>
      </c>
      <c r="BG105" s="347">
        <f t="array" aca="1" ref="BG105" ca="1">SUM($K105:$V105*$BY105:$CJ105*$BK105:$BV105)*$AZ105*$BX105</f>
        <v>0</v>
      </c>
      <c r="BH105" s="347">
        <f t="array" aca="1" ref="BH105" ca="1">SUM($K105:$V105*$BY105:$CJ105*$BK105:$BV105)*(1-$BE105)*$AZ105*$BX105</f>
        <v>0</v>
      </c>
      <c r="BI105" s="350">
        <f t="shared" ref="BI105:BI112" ca="1" si="610">SUM($K105:$V105)*$BB105</f>
        <v>0</v>
      </c>
      <c r="BJ105" s="275" t="str">
        <f t="shared" ref="BJ105:BJ112" ca="1" si="611">IF(ISERROR(HLOOKUP(BJ$10,INDIRECT(LOWER($AN105)&amp;"Price"),$BW105,FALSE)),"Да",HLOOKUP(BJ$10,INDIRECT(LOWER($AN105)&amp;"Price"),$BW105,FALSE))</f>
        <v>Да</v>
      </c>
      <c r="BK105" s="116">
        <f t="shared" ca="1" si="581"/>
        <v>0.8</v>
      </c>
      <c r="BL105" s="117">
        <f t="shared" ca="1" si="581"/>
        <v>0.9</v>
      </c>
      <c r="BM105" s="117">
        <f t="shared" ca="1" si="581"/>
        <v>1</v>
      </c>
      <c r="BN105" s="117">
        <f t="shared" ca="1" si="581"/>
        <v>1</v>
      </c>
      <c r="BO105" s="117">
        <f t="shared" ca="1" si="581"/>
        <v>1</v>
      </c>
      <c r="BP105" s="117">
        <f t="shared" ca="1" si="581"/>
        <v>1</v>
      </c>
      <c r="BQ105" s="117">
        <f t="shared" ca="1" si="581"/>
        <v>0.9</v>
      </c>
      <c r="BR105" s="117">
        <f t="shared" ca="1" si="581"/>
        <v>0.9</v>
      </c>
      <c r="BS105" s="117">
        <f t="shared" ca="1" si="581"/>
        <v>1.3</v>
      </c>
      <c r="BT105" s="117">
        <f t="shared" ca="1" si="581"/>
        <v>1.3</v>
      </c>
      <c r="BU105" s="117">
        <f t="shared" ca="1" si="581"/>
        <v>1.3</v>
      </c>
      <c r="BV105" s="278">
        <f t="shared" ca="1" si="581"/>
        <v>1.3</v>
      </c>
      <c r="BW105" s="280">
        <f t="shared" si="6"/>
        <v>2</v>
      </c>
      <c r="BX105" s="118">
        <f>IF($AN105="Ya",100%,100%+extraDelayZ)</f>
        <v>1</v>
      </c>
      <c r="BY105" s="263">
        <f t="shared" ref="BY105:BY112" si="612">(1+AA105)</f>
        <v>1</v>
      </c>
      <c r="BZ105" s="264">
        <f t="shared" ref="BZ105:BZ112" si="613">(1+AB105)</f>
        <v>1</v>
      </c>
      <c r="CA105" s="264">
        <f t="shared" ref="CA105:CA112" si="614">(1+AC105)</f>
        <v>1</v>
      </c>
      <c r="CB105" s="264">
        <f t="shared" ref="CB105:CB112" si="615">(1+AD105)</f>
        <v>1</v>
      </c>
      <c r="CC105" s="264">
        <f t="shared" ref="CC105:CC112" si="616">(1+AE105)</f>
        <v>1</v>
      </c>
      <c r="CD105" s="264">
        <f t="shared" ref="CD105:CD112" si="617">(1+AF105)</f>
        <v>1</v>
      </c>
      <c r="CE105" s="264">
        <f t="shared" ref="CE105:CE112" si="618">(1+AG105)</f>
        <v>1</v>
      </c>
      <c r="CF105" s="264">
        <f t="shared" ref="CF105:CF112" si="619">(1+AH105)</f>
        <v>1</v>
      </c>
      <c r="CG105" s="264">
        <f t="shared" ref="CG105:CG112" si="620">(1+AI105)</f>
        <v>1</v>
      </c>
      <c r="CH105" s="264">
        <f t="shared" ref="CH105:CH112" si="621">(1+AJ105)</f>
        <v>1</v>
      </c>
      <c r="CI105" s="264">
        <f t="shared" ref="CI105:CI112" si="622">(1+AK105)</f>
        <v>1</v>
      </c>
      <c r="CJ105" s="265">
        <f t="shared" ref="CJ105:CJ112" si="623">(1+AL105)</f>
        <v>1</v>
      </c>
      <c r="CK105" s="269">
        <f t="array" ref="CK105">IF(ISERROR(SUM($K105:$V105*$BY105:$CJ105)/SUM($K105:$V105)),1,SUM($K105:$V105*$BY105:$CJ105)/SUM($K105:$V105))-1</f>
        <v>0</v>
      </c>
      <c r="CL105" s="234"/>
    </row>
    <row r="106" spans="1:90" ht="12.75" hidden="1" outlineLevel="1" x14ac:dyDescent="0.2">
      <c r="B106" s="404" t="str">
        <f t="shared" ca="1" si="595"/>
        <v>Пакет "Федеральный 12 000К",1000х120</v>
      </c>
      <c r="C106" s="676" t="str">
        <f t="shared" ca="1" si="575"/>
        <v>Пакет</v>
      </c>
      <c r="D106" s="405">
        <f t="shared" ca="1" si="596"/>
        <v>100</v>
      </c>
      <c r="E106" s="405">
        <f t="shared" ca="1" si="597"/>
        <v>100</v>
      </c>
      <c r="F106" s="405">
        <f t="shared" ca="1" si="598"/>
        <v>100</v>
      </c>
      <c r="G106" s="406">
        <f t="shared" ca="1" si="599"/>
        <v>1200000</v>
      </c>
      <c r="H106" s="406">
        <f t="shared" ca="1" si="600"/>
        <v>1200000</v>
      </c>
      <c r="I106" s="406">
        <f t="shared" ca="1" si="576"/>
        <v>0</v>
      </c>
      <c r="J106" s="407">
        <f t="shared" ca="1" si="577"/>
        <v>0</v>
      </c>
      <c r="K106" s="408"/>
      <c r="L106" s="409"/>
      <c r="M106" s="409"/>
      <c r="N106" s="409"/>
      <c r="O106" s="409"/>
      <c r="P106" s="409"/>
      <c r="Q106" s="409"/>
      <c r="R106" s="409"/>
      <c r="S106" s="409"/>
      <c r="T106" s="409"/>
      <c r="U106" s="409"/>
      <c r="V106" s="410"/>
      <c r="W106" s="406">
        <f t="shared" ca="1" si="1"/>
        <v>0</v>
      </c>
      <c r="X106" s="406"/>
      <c r="Y106" s="411"/>
      <c r="Z106" s="412">
        <f t="shared" ref="Z106" si="624">CK106</f>
        <v>0</v>
      </c>
      <c r="AA106" s="413"/>
      <c r="AB106" s="413"/>
      <c r="AC106" s="413"/>
      <c r="AD106" s="413"/>
      <c r="AE106" s="413"/>
      <c r="AF106" s="413"/>
      <c r="AG106" s="413"/>
      <c r="AH106" s="413"/>
      <c r="AI106" s="413"/>
      <c r="AJ106" s="413"/>
      <c r="AK106" s="413"/>
      <c r="AL106" s="413"/>
      <c r="AM106" s="572"/>
      <c r="AN106" s="351" t="s">
        <v>618</v>
      </c>
      <c r="AO106" s="351" t="str">
        <f t="shared" si="2"/>
        <v>Avito.ru</v>
      </c>
      <c r="AP106" s="115">
        <f t="shared" si="409"/>
        <v>9</v>
      </c>
      <c r="AQ106" s="31" t="str">
        <f t="shared" ca="1" si="602"/>
        <v>-</v>
      </c>
      <c r="AR106" s="31" t="str">
        <f t="shared" ca="1" si="602"/>
        <v>Вкл.</v>
      </c>
      <c r="AS106" s="35">
        <v>0</v>
      </c>
      <c r="AT106" s="229">
        <v>0</v>
      </c>
      <c r="AU106" s="344">
        <f t="shared" ca="1" si="603"/>
        <v>100</v>
      </c>
      <c r="AV106" s="345">
        <f t="shared" ca="1" si="604"/>
        <v>100</v>
      </c>
      <c r="AW106" s="346">
        <f t="shared" ca="1" si="605"/>
        <v>100</v>
      </c>
      <c r="AX106" s="280"/>
      <c r="AY106" s="280"/>
      <c r="AZ106" s="347">
        <f t="shared" ca="1" si="606"/>
        <v>1200000</v>
      </c>
      <c r="BA106" s="348">
        <f t="shared" ca="1" si="607"/>
        <v>1200000</v>
      </c>
      <c r="BB106" s="347">
        <f t="shared" ca="1" si="608"/>
        <v>12000</v>
      </c>
      <c r="BC106" s="37" t="str">
        <f t="shared" ca="1" si="608"/>
        <v>Пакет</v>
      </c>
      <c r="BD106" s="229" t="str">
        <f t="shared" ca="1" si="609"/>
        <v>Пакет</v>
      </c>
      <c r="BE106" s="283">
        <f t="shared" ca="1" si="4"/>
        <v>0</v>
      </c>
      <c r="BF106" s="347">
        <f t="array" aca="1" ref="BF106" ca="1">SUM($K106:$V106*$BK106:$BV106)*$AZ106</f>
        <v>0</v>
      </c>
      <c r="BG106" s="347">
        <f t="array" aca="1" ref="BG106" ca="1">SUM($K106:$V106*$BY106:$CJ106*$BK106:$BV106)*$AZ106*$BX106</f>
        <v>0</v>
      </c>
      <c r="BH106" s="347">
        <f t="array" aca="1" ref="BH106" ca="1">SUM($K106:$V106*$BY106:$CJ106*$BK106:$BV106)*(1-$BE106)*$AZ106*$BX106</f>
        <v>0</v>
      </c>
      <c r="BI106" s="350">
        <f t="shared" ca="1" si="610"/>
        <v>0</v>
      </c>
      <c r="BJ106" s="275" t="str">
        <f t="shared" ca="1" si="611"/>
        <v>Да</v>
      </c>
      <c r="BK106" s="116">
        <f t="shared" ca="1" si="581"/>
        <v>0.8</v>
      </c>
      <c r="BL106" s="117">
        <f t="shared" ca="1" si="581"/>
        <v>0.9</v>
      </c>
      <c r="BM106" s="117">
        <f t="shared" ca="1" si="581"/>
        <v>1</v>
      </c>
      <c r="BN106" s="117">
        <f t="shared" ca="1" si="581"/>
        <v>1</v>
      </c>
      <c r="BO106" s="117">
        <f t="shared" ca="1" si="581"/>
        <v>1</v>
      </c>
      <c r="BP106" s="117">
        <f t="shared" ca="1" si="581"/>
        <v>1</v>
      </c>
      <c r="BQ106" s="117">
        <f t="shared" ca="1" si="581"/>
        <v>0.9</v>
      </c>
      <c r="BR106" s="117">
        <f t="shared" ca="1" si="581"/>
        <v>0.9</v>
      </c>
      <c r="BS106" s="117">
        <f t="shared" ca="1" si="581"/>
        <v>1.3</v>
      </c>
      <c r="BT106" s="117">
        <f t="shared" ca="1" si="581"/>
        <v>1.3</v>
      </c>
      <c r="BU106" s="117">
        <f t="shared" ca="1" si="581"/>
        <v>1.3</v>
      </c>
      <c r="BV106" s="278">
        <f t="shared" ca="1" si="581"/>
        <v>1.3</v>
      </c>
      <c r="BW106" s="280">
        <f t="shared" si="6"/>
        <v>3</v>
      </c>
      <c r="BX106" s="118">
        <f>IF($AN106="Ya",100%,100%+extraDelayZ)</f>
        <v>1</v>
      </c>
      <c r="BY106" s="263">
        <f t="shared" ref="BY106" si="625">(1+AA106)</f>
        <v>1</v>
      </c>
      <c r="BZ106" s="264">
        <f t="shared" ref="BZ106" si="626">(1+AB106)</f>
        <v>1</v>
      </c>
      <c r="CA106" s="264">
        <f t="shared" ref="CA106" si="627">(1+AC106)</f>
        <v>1</v>
      </c>
      <c r="CB106" s="264">
        <f t="shared" ref="CB106" si="628">(1+AD106)</f>
        <v>1</v>
      </c>
      <c r="CC106" s="264">
        <f t="shared" ref="CC106" si="629">(1+AE106)</f>
        <v>1</v>
      </c>
      <c r="CD106" s="264">
        <f t="shared" ref="CD106" si="630">(1+AF106)</f>
        <v>1</v>
      </c>
      <c r="CE106" s="264">
        <f t="shared" ref="CE106" si="631">(1+AG106)</f>
        <v>1</v>
      </c>
      <c r="CF106" s="264">
        <f t="shared" ref="CF106" si="632">(1+AH106)</f>
        <v>1</v>
      </c>
      <c r="CG106" s="264">
        <f t="shared" ref="CG106" si="633">(1+AI106)</f>
        <v>1</v>
      </c>
      <c r="CH106" s="264">
        <f t="shared" ref="CH106" si="634">(1+AJ106)</f>
        <v>1</v>
      </c>
      <c r="CI106" s="264">
        <f t="shared" ref="CI106" si="635">(1+AK106)</f>
        <v>1</v>
      </c>
      <c r="CJ106" s="265">
        <f t="shared" ref="CJ106" si="636">(1+AL106)</f>
        <v>1</v>
      </c>
      <c r="CK106" s="269">
        <f t="array" ref="CK106">IF(ISERROR(SUM($K106:$V106*$BY106:$CJ106)/SUM($K106:$V106)),1,SUM($K106:$V106*$BY106:$CJ106)/SUM($K106:$V106))-1</f>
        <v>0</v>
      </c>
      <c r="CL106" s="234"/>
    </row>
    <row r="107" spans="1:90" ht="12.75" hidden="1" outlineLevel="1" x14ac:dyDescent="0.2">
      <c r="B107" s="404" t="str">
        <f t="shared" ca="1" si="595"/>
        <v>Динамика с таргетингом на Москву, 1000х120</v>
      </c>
      <c r="C107" s="676" t="str">
        <f t="shared" ca="1" si="575"/>
        <v>х1000</v>
      </c>
      <c r="D107" s="405">
        <f t="shared" ca="1" si="596"/>
        <v>250</v>
      </c>
      <c r="E107" s="405">
        <f t="shared" ca="1" si="597"/>
        <v>250</v>
      </c>
      <c r="F107" s="405">
        <f t="shared" ca="1" si="598"/>
        <v>250</v>
      </c>
      <c r="G107" s="406">
        <f t="shared" ca="1" si="599"/>
        <v>250</v>
      </c>
      <c r="H107" s="406">
        <f t="shared" ca="1" si="600"/>
        <v>250</v>
      </c>
      <c r="I107" s="406">
        <f t="shared" ca="1" si="576"/>
        <v>0</v>
      </c>
      <c r="J107" s="407">
        <f t="shared" ca="1" si="577"/>
        <v>0</v>
      </c>
      <c r="K107" s="408"/>
      <c r="L107" s="409"/>
      <c r="M107" s="409"/>
      <c r="N107" s="409"/>
      <c r="O107" s="409"/>
      <c r="P107" s="409"/>
      <c r="Q107" s="409"/>
      <c r="R107" s="409"/>
      <c r="S107" s="409"/>
      <c r="T107" s="409"/>
      <c r="U107" s="409"/>
      <c r="V107" s="410"/>
      <c r="W107" s="406">
        <f t="shared" ca="1" si="1"/>
        <v>0</v>
      </c>
      <c r="X107" s="406"/>
      <c r="Y107" s="411"/>
      <c r="Z107" s="412">
        <f t="shared" ref="Z107:Z109" si="637">CK107</f>
        <v>0</v>
      </c>
      <c r="AA107" s="413"/>
      <c r="AB107" s="413"/>
      <c r="AC107" s="413"/>
      <c r="AD107" s="413"/>
      <c r="AE107" s="413"/>
      <c r="AF107" s="413"/>
      <c r="AG107" s="413"/>
      <c r="AH107" s="413"/>
      <c r="AI107" s="413"/>
      <c r="AJ107" s="413"/>
      <c r="AK107" s="413"/>
      <c r="AL107" s="413"/>
      <c r="AM107" s="572"/>
      <c r="AN107" s="351" t="s">
        <v>618</v>
      </c>
      <c r="AO107" s="351" t="str">
        <f t="shared" si="2"/>
        <v>Avito.ru</v>
      </c>
      <c r="AP107" s="115">
        <f t="shared" si="409"/>
        <v>9</v>
      </c>
      <c r="AQ107" s="31" t="str">
        <f t="shared" ca="1" si="602"/>
        <v>Вкл.</v>
      </c>
      <c r="AR107" s="31" t="str">
        <f t="shared" ca="1" si="602"/>
        <v>-</v>
      </c>
      <c r="AS107" s="35">
        <v>0</v>
      </c>
      <c r="AT107" s="229">
        <v>0</v>
      </c>
      <c r="AU107" s="344">
        <f t="shared" ca="1" si="603"/>
        <v>250</v>
      </c>
      <c r="AV107" s="345">
        <f t="shared" ca="1" si="604"/>
        <v>250</v>
      </c>
      <c r="AW107" s="346">
        <f t="shared" ca="1" si="605"/>
        <v>250</v>
      </c>
      <c r="AX107" s="280"/>
      <c r="AY107" s="280"/>
      <c r="AZ107" s="347">
        <f t="shared" ca="1" si="606"/>
        <v>250</v>
      </c>
      <c r="BA107" s="348">
        <f t="shared" ca="1" si="607"/>
        <v>250</v>
      </c>
      <c r="BB107" s="347">
        <f t="shared" ca="1" si="608"/>
        <v>1</v>
      </c>
      <c r="BC107" s="37" t="str">
        <f t="shared" ca="1" si="608"/>
        <v>1000 контактов</v>
      </c>
      <c r="BD107" s="229" t="str">
        <f t="shared" ca="1" si="609"/>
        <v>х1000</v>
      </c>
      <c r="BE107" s="283">
        <f t="shared" ca="1" si="4"/>
        <v>0</v>
      </c>
      <c r="BF107" s="347">
        <f t="array" aca="1" ref="BF107" ca="1">SUM($K107:$V107*$BK107:$BV107)*$AZ107</f>
        <v>0</v>
      </c>
      <c r="BG107" s="347">
        <f t="array" aca="1" ref="BG107" ca="1">SUM($K107:$V107*$BY107:$CJ107*$BK107:$BV107)*$AZ107*$BX107</f>
        <v>0</v>
      </c>
      <c r="BH107" s="347">
        <f t="array" aca="1" ref="BH107" ca="1">SUM($K107:$V107*$BY107:$CJ107*$BK107:$BV107)*(1-$BE107)*$AZ107*$BX107</f>
        <v>0</v>
      </c>
      <c r="BI107" s="350">
        <f t="shared" ca="1" si="610"/>
        <v>0</v>
      </c>
      <c r="BJ107" s="275" t="str">
        <f t="shared" ca="1" si="611"/>
        <v>Да</v>
      </c>
      <c r="BK107" s="116">
        <f t="shared" ca="1" si="581"/>
        <v>0.8</v>
      </c>
      <c r="BL107" s="117">
        <f t="shared" ca="1" si="581"/>
        <v>0.9</v>
      </c>
      <c r="BM107" s="117">
        <f t="shared" ca="1" si="581"/>
        <v>1</v>
      </c>
      <c r="BN107" s="117">
        <f t="shared" ca="1" si="581"/>
        <v>1</v>
      </c>
      <c r="BO107" s="117">
        <f t="shared" ca="1" si="581"/>
        <v>1</v>
      </c>
      <c r="BP107" s="117">
        <f t="shared" ca="1" si="581"/>
        <v>1</v>
      </c>
      <c r="BQ107" s="117">
        <f t="shared" ca="1" si="581"/>
        <v>0.9</v>
      </c>
      <c r="BR107" s="117">
        <f t="shared" ca="1" si="581"/>
        <v>0.9</v>
      </c>
      <c r="BS107" s="117">
        <f t="shared" ca="1" si="581"/>
        <v>1.3</v>
      </c>
      <c r="BT107" s="117">
        <f t="shared" ca="1" si="581"/>
        <v>1.3</v>
      </c>
      <c r="BU107" s="117">
        <f t="shared" ca="1" si="581"/>
        <v>1.3</v>
      </c>
      <c r="BV107" s="278">
        <f t="shared" ca="1" si="581"/>
        <v>1.3</v>
      </c>
      <c r="BW107" s="280">
        <f t="shared" si="6"/>
        <v>4</v>
      </c>
      <c r="BX107" s="118">
        <f>IF($AN107="Ya",100%,100%+extraDelayZ)</f>
        <v>1</v>
      </c>
      <c r="BY107" s="263">
        <f t="shared" ref="BY107:BY109" si="638">(1+AA107)</f>
        <v>1</v>
      </c>
      <c r="BZ107" s="264">
        <f t="shared" ref="BZ107:BZ109" si="639">(1+AB107)</f>
        <v>1</v>
      </c>
      <c r="CA107" s="264">
        <f t="shared" ref="CA107:CA109" si="640">(1+AC107)</f>
        <v>1</v>
      </c>
      <c r="CB107" s="264">
        <f t="shared" ref="CB107:CB109" si="641">(1+AD107)</f>
        <v>1</v>
      </c>
      <c r="CC107" s="264">
        <f t="shared" ref="CC107:CC109" si="642">(1+AE107)</f>
        <v>1</v>
      </c>
      <c r="CD107" s="264">
        <f t="shared" ref="CD107:CD109" si="643">(1+AF107)</f>
        <v>1</v>
      </c>
      <c r="CE107" s="264">
        <f t="shared" ref="CE107:CE109" si="644">(1+AG107)</f>
        <v>1</v>
      </c>
      <c r="CF107" s="264">
        <f t="shared" ref="CF107:CF109" si="645">(1+AH107)</f>
        <v>1</v>
      </c>
      <c r="CG107" s="264">
        <f t="shared" ref="CG107:CG109" si="646">(1+AI107)</f>
        <v>1</v>
      </c>
      <c r="CH107" s="264">
        <f t="shared" ref="CH107:CH109" si="647">(1+AJ107)</f>
        <v>1</v>
      </c>
      <c r="CI107" s="264">
        <f t="shared" ref="CI107:CI109" si="648">(1+AK107)</f>
        <v>1</v>
      </c>
      <c r="CJ107" s="265">
        <f t="shared" ref="CJ107:CJ109" si="649">(1+AL107)</f>
        <v>1</v>
      </c>
      <c r="CK107" s="269">
        <f t="array" ref="CK107">IF(ISERROR(SUM($K107:$V107*$BY107:$CJ107)/SUM($K107:$V107)),1,SUM($K107:$V107*$BY107:$CJ107)/SUM($K107:$V107))-1</f>
        <v>0</v>
      </c>
      <c r="CL107" s="234"/>
    </row>
    <row r="108" spans="1:90" ht="12.75" hidden="1" outlineLevel="1" x14ac:dyDescent="0.2">
      <c r="B108" s="404" t="str">
        <f t="shared" ca="1" si="595"/>
        <v>Динамика с таргетингом на Санкт-Петербург, 1000х120</v>
      </c>
      <c r="C108" s="676" t="str">
        <f t="shared" ca="1" si="575"/>
        <v>х1000</v>
      </c>
      <c r="D108" s="405">
        <f t="shared" ca="1" si="596"/>
        <v>200</v>
      </c>
      <c r="E108" s="405">
        <f t="shared" ca="1" si="597"/>
        <v>200</v>
      </c>
      <c r="F108" s="405">
        <f t="shared" ca="1" si="598"/>
        <v>200</v>
      </c>
      <c r="G108" s="406">
        <f t="shared" ca="1" si="599"/>
        <v>200</v>
      </c>
      <c r="H108" s="406">
        <f t="shared" ca="1" si="600"/>
        <v>200</v>
      </c>
      <c r="I108" s="406">
        <f t="shared" ca="1" si="576"/>
        <v>0</v>
      </c>
      <c r="J108" s="407">
        <f t="shared" ca="1" si="577"/>
        <v>0</v>
      </c>
      <c r="K108" s="408"/>
      <c r="L108" s="409"/>
      <c r="M108" s="409"/>
      <c r="N108" s="409"/>
      <c r="O108" s="409"/>
      <c r="P108" s="409"/>
      <c r="Q108" s="409"/>
      <c r="R108" s="409"/>
      <c r="S108" s="409"/>
      <c r="T108" s="409"/>
      <c r="U108" s="409"/>
      <c r="V108" s="410"/>
      <c r="W108" s="406">
        <f t="shared" ca="1" si="1"/>
        <v>0</v>
      </c>
      <c r="X108" s="406"/>
      <c r="Y108" s="411"/>
      <c r="Z108" s="412">
        <f t="shared" si="637"/>
        <v>0</v>
      </c>
      <c r="AA108" s="413"/>
      <c r="AB108" s="413"/>
      <c r="AC108" s="413"/>
      <c r="AD108" s="413"/>
      <c r="AE108" s="413"/>
      <c r="AF108" s="413"/>
      <c r="AG108" s="413"/>
      <c r="AH108" s="413"/>
      <c r="AI108" s="413"/>
      <c r="AJ108" s="413"/>
      <c r="AK108" s="413"/>
      <c r="AL108" s="413"/>
      <c r="AM108" s="572"/>
      <c r="AN108" s="351" t="s">
        <v>618</v>
      </c>
      <c r="AO108" s="351" t="str">
        <f t="shared" si="2"/>
        <v>Avito.ru</v>
      </c>
      <c r="AP108" s="115">
        <f t="shared" si="409"/>
        <v>9</v>
      </c>
      <c r="AQ108" s="31" t="str">
        <f t="shared" ca="1" si="602"/>
        <v>Вкл.</v>
      </c>
      <c r="AR108" s="31" t="str">
        <f t="shared" ca="1" si="602"/>
        <v>-</v>
      </c>
      <c r="AS108" s="35">
        <v>0</v>
      </c>
      <c r="AT108" s="229">
        <v>0</v>
      </c>
      <c r="AU108" s="344">
        <f t="shared" ca="1" si="603"/>
        <v>200</v>
      </c>
      <c r="AV108" s="345">
        <f t="shared" ca="1" si="604"/>
        <v>200</v>
      </c>
      <c r="AW108" s="346">
        <f t="shared" ca="1" si="605"/>
        <v>200</v>
      </c>
      <c r="AX108" s="280"/>
      <c r="AY108" s="280"/>
      <c r="AZ108" s="347">
        <f t="shared" ca="1" si="606"/>
        <v>200</v>
      </c>
      <c r="BA108" s="348">
        <f t="shared" ca="1" si="607"/>
        <v>200</v>
      </c>
      <c r="BB108" s="347">
        <f t="shared" ca="1" si="608"/>
        <v>1</v>
      </c>
      <c r="BC108" s="37" t="str">
        <f t="shared" ca="1" si="608"/>
        <v>1000 контактов</v>
      </c>
      <c r="BD108" s="229" t="str">
        <f t="shared" ca="1" si="609"/>
        <v>х1000</v>
      </c>
      <c r="BE108" s="283">
        <f t="shared" ca="1" si="4"/>
        <v>0</v>
      </c>
      <c r="BF108" s="347">
        <f t="array" aca="1" ref="BF108" ca="1">SUM($K108:$V108*$BK108:$BV108)*$AZ108</f>
        <v>0</v>
      </c>
      <c r="BG108" s="347">
        <f t="array" aca="1" ref="BG108" ca="1">SUM($K108:$V108*$BY108:$CJ108*$BK108:$BV108)*$AZ108*$BX108</f>
        <v>0</v>
      </c>
      <c r="BH108" s="347">
        <f t="array" aca="1" ref="BH108" ca="1">SUM($K108:$V108*$BY108:$CJ108*$BK108:$BV108)*(1-$BE108)*$AZ108*$BX108</f>
        <v>0</v>
      </c>
      <c r="BI108" s="350">
        <f t="shared" ca="1" si="610"/>
        <v>0</v>
      </c>
      <c r="BJ108" s="275" t="str">
        <f t="shared" ca="1" si="611"/>
        <v>Да</v>
      </c>
      <c r="BK108" s="116">
        <f t="shared" ca="1" si="581"/>
        <v>0.8</v>
      </c>
      <c r="BL108" s="117">
        <f t="shared" ca="1" si="581"/>
        <v>0.9</v>
      </c>
      <c r="BM108" s="117">
        <f t="shared" ca="1" si="581"/>
        <v>1</v>
      </c>
      <c r="BN108" s="117">
        <f t="shared" ca="1" si="581"/>
        <v>1</v>
      </c>
      <c r="BO108" s="117">
        <f t="shared" ca="1" si="581"/>
        <v>1</v>
      </c>
      <c r="BP108" s="117">
        <f t="shared" ca="1" si="581"/>
        <v>1</v>
      </c>
      <c r="BQ108" s="117">
        <f t="shared" ca="1" si="581"/>
        <v>0.9</v>
      </c>
      <c r="BR108" s="117">
        <f t="shared" ca="1" si="581"/>
        <v>0.9</v>
      </c>
      <c r="BS108" s="117">
        <f t="shared" ca="1" si="581"/>
        <v>1.3</v>
      </c>
      <c r="BT108" s="117">
        <f t="shared" ca="1" si="581"/>
        <v>1.3</v>
      </c>
      <c r="BU108" s="117">
        <f t="shared" ca="1" si="581"/>
        <v>1.3</v>
      </c>
      <c r="BV108" s="278">
        <f t="shared" ca="1" si="581"/>
        <v>1.3</v>
      </c>
      <c r="BW108" s="280">
        <f t="shared" si="6"/>
        <v>5</v>
      </c>
      <c r="BX108" s="118">
        <f>IF($AN108="Ya",100%,100%+extraDelayZ)</f>
        <v>1</v>
      </c>
      <c r="BY108" s="263">
        <f t="shared" si="638"/>
        <v>1</v>
      </c>
      <c r="BZ108" s="264">
        <f t="shared" si="639"/>
        <v>1</v>
      </c>
      <c r="CA108" s="264">
        <f t="shared" si="640"/>
        <v>1</v>
      </c>
      <c r="CB108" s="264">
        <f t="shared" si="641"/>
        <v>1</v>
      </c>
      <c r="CC108" s="264">
        <f t="shared" si="642"/>
        <v>1</v>
      </c>
      <c r="CD108" s="264">
        <f t="shared" si="643"/>
        <v>1</v>
      </c>
      <c r="CE108" s="264">
        <f t="shared" si="644"/>
        <v>1</v>
      </c>
      <c r="CF108" s="264">
        <f t="shared" si="645"/>
        <v>1</v>
      </c>
      <c r="CG108" s="264">
        <f t="shared" si="646"/>
        <v>1</v>
      </c>
      <c r="CH108" s="264">
        <f t="shared" si="647"/>
        <v>1</v>
      </c>
      <c r="CI108" s="264">
        <f t="shared" si="648"/>
        <v>1</v>
      </c>
      <c r="CJ108" s="265">
        <f t="shared" si="649"/>
        <v>1</v>
      </c>
      <c r="CK108" s="269">
        <f t="array" ref="CK108">IF(ISERROR(SUM($K108:$V108*$BY108:$CJ108)/SUM($K108:$V108)),1,SUM($K108:$V108*$BY108:$CJ108)/SUM($K108:$V108))-1</f>
        <v>0</v>
      </c>
      <c r="CL108" s="234"/>
    </row>
    <row r="109" spans="1:90" ht="12.75" hidden="1" outlineLevel="1" x14ac:dyDescent="0.2">
      <c r="B109" s="404" t="str">
        <f t="shared" ca="1" si="595"/>
        <v>Пакет "Тематический"(выбор раздела без наценок), 1000х120</v>
      </c>
      <c r="C109" s="676" t="str">
        <f t="shared" ca="1" si="575"/>
        <v>х1000</v>
      </c>
      <c r="D109" s="405">
        <f t="shared" ca="1" si="596"/>
        <v>200</v>
      </c>
      <c r="E109" s="405">
        <f t="shared" ca="1" si="597"/>
        <v>200</v>
      </c>
      <c r="F109" s="405">
        <f t="shared" ca="1" si="598"/>
        <v>200</v>
      </c>
      <c r="G109" s="406">
        <f t="shared" ca="1" si="599"/>
        <v>200</v>
      </c>
      <c r="H109" s="406">
        <f t="shared" ca="1" si="600"/>
        <v>200</v>
      </c>
      <c r="I109" s="406">
        <f t="shared" ca="1" si="576"/>
        <v>0</v>
      </c>
      <c r="J109" s="407">
        <f t="shared" ca="1" si="577"/>
        <v>0</v>
      </c>
      <c r="K109" s="408"/>
      <c r="L109" s="409"/>
      <c r="M109" s="409"/>
      <c r="N109" s="409"/>
      <c r="O109" s="409"/>
      <c r="P109" s="409"/>
      <c r="Q109" s="409"/>
      <c r="R109" s="409"/>
      <c r="S109" s="409"/>
      <c r="T109" s="409"/>
      <c r="U109" s="409"/>
      <c r="V109" s="410"/>
      <c r="W109" s="406">
        <f t="shared" ca="1" si="1"/>
        <v>0</v>
      </c>
      <c r="X109" s="406"/>
      <c r="Y109" s="411"/>
      <c r="Z109" s="412">
        <f t="shared" si="637"/>
        <v>0</v>
      </c>
      <c r="AA109" s="413"/>
      <c r="AB109" s="413"/>
      <c r="AC109" s="413"/>
      <c r="AD109" s="413"/>
      <c r="AE109" s="413"/>
      <c r="AF109" s="413"/>
      <c r="AG109" s="413"/>
      <c r="AH109" s="413"/>
      <c r="AI109" s="413"/>
      <c r="AJ109" s="413"/>
      <c r="AK109" s="413"/>
      <c r="AL109" s="413"/>
      <c r="AM109" s="572"/>
      <c r="AN109" s="351" t="s">
        <v>618</v>
      </c>
      <c r="AO109" s="351" t="str">
        <f t="shared" si="2"/>
        <v>Avito.ru</v>
      </c>
      <c r="AP109" s="115">
        <f t="shared" si="409"/>
        <v>9</v>
      </c>
      <c r="AQ109" s="31" t="str">
        <f t="shared" ca="1" si="602"/>
        <v>-</v>
      </c>
      <c r="AR109" s="31" t="str">
        <f t="shared" ca="1" si="602"/>
        <v>Вкл.</v>
      </c>
      <c r="AS109" s="35">
        <v>0</v>
      </c>
      <c r="AT109" s="229">
        <v>0</v>
      </c>
      <c r="AU109" s="344">
        <f t="shared" ca="1" si="603"/>
        <v>200</v>
      </c>
      <c r="AV109" s="345">
        <f t="shared" ca="1" si="604"/>
        <v>200</v>
      </c>
      <c r="AW109" s="346">
        <f t="shared" ca="1" si="605"/>
        <v>200</v>
      </c>
      <c r="AX109" s="280"/>
      <c r="AY109" s="280"/>
      <c r="AZ109" s="347">
        <f t="shared" ca="1" si="606"/>
        <v>200</v>
      </c>
      <c r="BA109" s="348">
        <f t="shared" ca="1" si="607"/>
        <v>200</v>
      </c>
      <c r="BB109" s="347">
        <f t="shared" ca="1" si="608"/>
        <v>1</v>
      </c>
      <c r="BC109" s="37" t="str">
        <f t="shared" ca="1" si="608"/>
        <v>1000 контактов</v>
      </c>
      <c r="BD109" s="229" t="str">
        <f t="shared" ca="1" si="609"/>
        <v>х1000</v>
      </c>
      <c r="BE109" s="283">
        <f t="shared" ca="1" si="4"/>
        <v>0</v>
      </c>
      <c r="BF109" s="347">
        <f t="array" aca="1" ref="BF109" ca="1">SUM($K109:$V109*$BK109:$BV109)*$AZ109</f>
        <v>0</v>
      </c>
      <c r="BG109" s="347">
        <f t="array" aca="1" ref="BG109" ca="1">SUM($K109:$V109*$BY109:$CJ109*$BK109:$BV109)*$AZ109*$BX109</f>
        <v>0</v>
      </c>
      <c r="BH109" s="347">
        <f t="array" aca="1" ref="BH109" ca="1">SUM($K109:$V109*$BY109:$CJ109*$BK109:$BV109)*(1-$BE109)*$AZ109*$BX109</f>
        <v>0</v>
      </c>
      <c r="BI109" s="350">
        <f t="shared" ca="1" si="610"/>
        <v>0</v>
      </c>
      <c r="BJ109" s="275" t="str">
        <f t="shared" ca="1" si="611"/>
        <v>Да</v>
      </c>
      <c r="BK109" s="116">
        <f t="shared" ca="1" si="581"/>
        <v>0.8</v>
      </c>
      <c r="BL109" s="117">
        <f t="shared" ca="1" si="581"/>
        <v>0.9</v>
      </c>
      <c r="BM109" s="117">
        <f t="shared" ca="1" si="581"/>
        <v>1</v>
      </c>
      <c r="BN109" s="117">
        <f t="shared" ca="1" si="581"/>
        <v>1</v>
      </c>
      <c r="BO109" s="117">
        <f t="shared" ca="1" si="581"/>
        <v>1</v>
      </c>
      <c r="BP109" s="117">
        <f t="shared" ca="1" si="581"/>
        <v>1</v>
      </c>
      <c r="BQ109" s="117">
        <f t="shared" ca="1" si="581"/>
        <v>0.9</v>
      </c>
      <c r="BR109" s="117">
        <f t="shared" ca="1" si="581"/>
        <v>0.9</v>
      </c>
      <c r="BS109" s="117">
        <f t="shared" ca="1" si="581"/>
        <v>1.3</v>
      </c>
      <c r="BT109" s="117">
        <f t="shared" ca="1" si="581"/>
        <v>1.3</v>
      </c>
      <c r="BU109" s="117">
        <f t="shared" ca="1" si="581"/>
        <v>1.3</v>
      </c>
      <c r="BV109" s="278">
        <f t="shared" ca="1" si="581"/>
        <v>1.3</v>
      </c>
      <c r="BW109" s="280">
        <f t="shared" si="6"/>
        <v>6</v>
      </c>
      <c r="BX109" s="118">
        <f>IF($AN109="Ya",100%,100%+extraDelayZ)</f>
        <v>1</v>
      </c>
      <c r="BY109" s="263">
        <f t="shared" si="638"/>
        <v>1</v>
      </c>
      <c r="BZ109" s="264">
        <f t="shared" si="639"/>
        <v>1</v>
      </c>
      <c r="CA109" s="264">
        <f t="shared" si="640"/>
        <v>1</v>
      </c>
      <c r="CB109" s="264">
        <f t="shared" si="641"/>
        <v>1</v>
      </c>
      <c r="CC109" s="264">
        <f t="shared" si="642"/>
        <v>1</v>
      </c>
      <c r="CD109" s="264">
        <f t="shared" si="643"/>
        <v>1</v>
      </c>
      <c r="CE109" s="264">
        <f t="shared" si="644"/>
        <v>1</v>
      </c>
      <c r="CF109" s="264">
        <f t="shared" si="645"/>
        <v>1</v>
      </c>
      <c r="CG109" s="264">
        <f t="shared" si="646"/>
        <v>1</v>
      </c>
      <c r="CH109" s="264">
        <f t="shared" si="647"/>
        <v>1</v>
      </c>
      <c r="CI109" s="264">
        <f t="shared" si="648"/>
        <v>1</v>
      </c>
      <c r="CJ109" s="265">
        <f t="shared" si="649"/>
        <v>1</v>
      </c>
      <c r="CK109" s="269">
        <f t="array" ref="CK109">IF(ISERROR(SUM($K109:$V109*$BY109:$CJ109)/SUM($K109:$V109)),1,SUM($K109:$V109*$BY109:$CJ109)/SUM($K109:$V109))-1</f>
        <v>0</v>
      </c>
      <c r="CL109" s="234"/>
    </row>
    <row r="110" spans="1:90" ht="12.75" hidden="1" outlineLevel="1" x14ac:dyDescent="0.2">
      <c r="B110" s="404" t="str">
        <f t="shared" ca="1" si="595"/>
        <v>Годовая программа, 1000х120</v>
      </c>
      <c r="C110" s="676" t="str">
        <f t="shared" ca="1" si="575"/>
        <v>Пакет</v>
      </c>
      <c r="D110" s="405">
        <f t="shared" ca="1" si="596"/>
        <v>90</v>
      </c>
      <c r="E110" s="405">
        <f t="shared" ca="1" si="597"/>
        <v>90</v>
      </c>
      <c r="F110" s="405">
        <f t="shared" ca="1" si="598"/>
        <v>90</v>
      </c>
      <c r="G110" s="406">
        <f t="shared" ca="1" si="599"/>
        <v>18000000</v>
      </c>
      <c r="H110" s="406">
        <f t="shared" ca="1" si="600"/>
        <v>18000000</v>
      </c>
      <c r="I110" s="406">
        <f t="shared" ca="1" si="576"/>
        <v>0</v>
      </c>
      <c r="J110" s="407">
        <f t="shared" ca="1" si="577"/>
        <v>0</v>
      </c>
      <c r="K110" s="408"/>
      <c r="L110" s="409"/>
      <c r="M110" s="409"/>
      <c r="N110" s="409"/>
      <c r="O110" s="409"/>
      <c r="P110" s="409"/>
      <c r="Q110" s="409"/>
      <c r="R110" s="409"/>
      <c r="S110" s="409"/>
      <c r="T110" s="409"/>
      <c r="U110" s="409"/>
      <c r="V110" s="410"/>
      <c r="W110" s="406">
        <f t="shared" ca="1" si="1"/>
        <v>0</v>
      </c>
      <c r="X110" s="406"/>
      <c r="Y110" s="411"/>
      <c r="Z110" s="412">
        <f t="shared" ref="Z110" si="650">CK110</f>
        <v>0</v>
      </c>
      <c r="AA110" s="413"/>
      <c r="AB110" s="413"/>
      <c r="AC110" s="413"/>
      <c r="AD110" s="413"/>
      <c r="AE110" s="413"/>
      <c r="AF110" s="413"/>
      <c r="AG110" s="413"/>
      <c r="AH110" s="413"/>
      <c r="AI110" s="413"/>
      <c r="AJ110" s="413"/>
      <c r="AK110" s="413"/>
      <c r="AL110" s="413"/>
      <c r="AM110" s="572"/>
      <c r="AN110" s="351" t="s">
        <v>618</v>
      </c>
      <c r="AO110" s="351" t="str">
        <f t="shared" si="2"/>
        <v>Avito.ru</v>
      </c>
      <c r="AP110" s="115">
        <f t="shared" si="409"/>
        <v>9</v>
      </c>
      <c r="AQ110" s="31" t="str">
        <f t="shared" ca="1" si="602"/>
        <v>-</v>
      </c>
      <c r="AR110" s="31" t="str">
        <f t="shared" ca="1" si="602"/>
        <v>Вкл.</v>
      </c>
      <c r="AS110" s="35">
        <v>0</v>
      </c>
      <c r="AT110" s="229">
        <v>0</v>
      </c>
      <c r="AU110" s="344">
        <f t="shared" ca="1" si="603"/>
        <v>90</v>
      </c>
      <c r="AV110" s="345">
        <f t="shared" ca="1" si="604"/>
        <v>90</v>
      </c>
      <c r="AW110" s="346">
        <f t="shared" ca="1" si="605"/>
        <v>90</v>
      </c>
      <c r="AX110" s="280"/>
      <c r="AY110" s="280"/>
      <c r="AZ110" s="347">
        <f t="shared" ca="1" si="606"/>
        <v>18000000</v>
      </c>
      <c r="BA110" s="348">
        <f t="shared" ca="1" si="607"/>
        <v>18000000</v>
      </c>
      <c r="BB110" s="347">
        <f t="shared" ca="1" si="608"/>
        <v>200000</v>
      </c>
      <c r="BC110" s="37" t="str">
        <f t="shared" ca="1" si="608"/>
        <v>Пакет</v>
      </c>
      <c r="BD110" s="229" t="str">
        <f t="shared" ca="1" si="609"/>
        <v>Пакет</v>
      </c>
      <c r="BE110" s="283">
        <f t="shared" ca="1" si="4"/>
        <v>0</v>
      </c>
      <c r="BF110" s="347">
        <f t="array" aca="1" ref="BF110" ca="1">SUM($K110:$V110*$BK110:$BV110)*$AZ110</f>
        <v>0</v>
      </c>
      <c r="BG110" s="347">
        <f t="array" aca="1" ref="BG110" ca="1">SUM($K110:$V110*$BY110:$CJ110*$BK110:$BV110)*$AZ110*$BX110</f>
        <v>0</v>
      </c>
      <c r="BH110" s="347">
        <f t="array" aca="1" ref="BH110" ca="1">SUM($K110:$V110*$BY110:$CJ110*$BK110:$BV110)*(1-$BE110)*$AZ110*$BX110</f>
        <v>0</v>
      </c>
      <c r="BI110" s="350">
        <f t="shared" ca="1" si="610"/>
        <v>0</v>
      </c>
      <c r="BJ110" s="275" t="str">
        <f t="shared" ca="1" si="611"/>
        <v>Нет</v>
      </c>
      <c r="BK110" s="116">
        <f t="shared" ca="1" si="581"/>
        <v>1</v>
      </c>
      <c r="BL110" s="117">
        <f t="shared" ca="1" si="581"/>
        <v>1</v>
      </c>
      <c r="BM110" s="117">
        <f t="shared" ca="1" si="581"/>
        <v>1</v>
      </c>
      <c r="BN110" s="117">
        <f t="shared" ca="1" si="581"/>
        <v>1</v>
      </c>
      <c r="BO110" s="117">
        <f t="shared" ca="1" si="581"/>
        <v>1</v>
      </c>
      <c r="BP110" s="117">
        <f t="shared" ca="1" si="581"/>
        <v>1</v>
      </c>
      <c r="BQ110" s="117">
        <f t="shared" ca="1" si="581"/>
        <v>1</v>
      </c>
      <c r="BR110" s="117">
        <f t="shared" ca="1" si="581"/>
        <v>1</v>
      </c>
      <c r="BS110" s="117">
        <f t="shared" ca="1" si="581"/>
        <v>1</v>
      </c>
      <c r="BT110" s="117">
        <f t="shared" ca="1" si="581"/>
        <v>1</v>
      </c>
      <c r="BU110" s="117">
        <f t="shared" ca="1" si="581"/>
        <v>1</v>
      </c>
      <c r="BV110" s="278">
        <f t="shared" ca="1" si="581"/>
        <v>1</v>
      </c>
      <c r="BW110" s="280">
        <f t="shared" si="6"/>
        <v>7</v>
      </c>
      <c r="BX110" s="118">
        <f>IF($AN110="Ya",100%,100%+extraDelayZ)</f>
        <v>1</v>
      </c>
      <c r="BY110" s="263">
        <f t="shared" ref="BY110" si="651">(1+AA110)</f>
        <v>1</v>
      </c>
      <c r="BZ110" s="264">
        <f t="shared" ref="BZ110" si="652">(1+AB110)</f>
        <v>1</v>
      </c>
      <c r="CA110" s="264">
        <f t="shared" ref="CA110" si="653">(1+AC110)</f>
        <v>1</v>
      </c>
      <c r="CB110" s="264">
        <f t="shared" ref="CB110" si="654">(1+AD110)</f>
        <v>1</v>
      </c>
      <c r="CC110" s="264">
        <f t="shared" ref="CC110" si="655">(1+AE110)</f>
        <v>1</v>
      </c>
      <c r="CD110" s="264">
        <f t="shared" ref="CD110" si="656">(1+AF110)</f>
        <v>1</v>
      </c>
      <c r="CE110" s="264">
        <f t="shared" ref="CE110" si="657">(1+AG110)</f>
        <v>1</v>
      </c>
      <c r="CF110" s="264">
        <f t="shared" ref="CF110" si="658">(1+AH110)</f>
        <v>1</v>
      </c>
      <c r="CG110" s="264">
        <f t="shared" ref="CG110" si="659">(1+AI110)</f>
        <v>1</v>
      </c>
      <c r="CH110" s="264">
        <f t="shared" ref="CH110" si="660">(1+AJ110)</f>
        <v>1</v>
      </c>
      <c r="CI110" s="264">
        <f t="shared" ref="CI110" si="661">(1+AK110)</f>
        <v>1</v>
      </c>
      <c r="CJ110" s="265">
        <f t="shared" ref="CJ110" si="662">(1+AL110)</f>
        <v>1</v>
      </c>
      <c r="CK110" s="269">
        <f t="array" ref="CK110">IF(ISERROR(SUM($K110:$V110*$BY110:$CJ110)/SUM($K110:$V110)),1,SUM($K110:$V110*$BY110:$CJ110)/SUM($K110:$V110))-1</f>
        <v>0</v>
      </c>
      <c r="CL110" s="234"/>
    </row>
    <row r="111" spans="1:90" ht="12.75" hidden="1" outlineLevel="1" x14ac:dyDescent="0.2">
      <c r="B111" s="404" t="str">
        <f t="shared" ca="1" si="595"/>
        <v>FullScreen, F=1 в сутки</v>
      </c>
      <c r="C111" s="676" t="str">
        <f t="shared" ca="1" si="575"/>
        <v>х1000</v>
      </c>
      <c r="D111" s="405">
        <f t="shared" ca="1" si="596"/>
        <v>800</v>
      </c>
      <c r="E111" s="405">
        <f t="shared" ca="1" si="597"/>
        <v>800</v>
      </c>
      <c r="F111" s="405">
        <f t="shared" ca="1" si="598"/>
        <v>800</v>
      </c>
      <c r="G111" s="406">
        <f t="shared" ca="1" si="599"/>
        <v>800</v>
      </c>
      <c r="H111" s="406">
        <f t="shared" ca="1" si="600"/>
        <v>800</v>
      </c>
      <c r="I111" s="406">
        <f t="shared" ca="1" si="576"/>
        <v>0</v>
      </c>
      <c r="J111" s="407">
        <f t="shared" ca="1" si="577"/>
        <v>0</v>
      </c>
      <c r="K111" s="408"/>
      <c r="L111" s="409"/>
      <c r="M111" s="409"/>
      <c r="N111" s="409"/>
      <c r="O111" s="409"/>
      <c r="P111" s="409"/>
      <c r="Q111" s="409"/>
      <c r="R111" s="409"/>
      <c r="S111" s="409"/>
      <c r="T111" s="409"/>
      <c r="U111" s="409"/>
      <c r="V111" s="410"/>
      <c r="W111" s="406">
        <f t="shared" ca="1" si="1"/>
        <v>0</v>
      </c>
      <c r="X111" s="406"/>
      <c r="Y111" s="411"/>
      <c r="Z111" s="412">
        <f t="shared" ref="Z111" si="663">CK111</f>
        <v>0</v>
      </c>
      <c r="AA111" s="413"/>
      <c r="AB111" s="413"/>
      <c r="AC111" s="413"/>
      <c r="AD111" s="413"/>
      <c r="AE111" s="413"/>
      <c r="AF111" s="413"/>
      <c r="AG111" s="413"/>
      <c r="AH111" s="413"/>
      <c r="AI111" s="413"/>
      <c r="AJ111" s="413"/>
      <c r="AK111" s="413"/>
      <c r="AL111" s="413"/>
      <c r="AM111" s="572"/>
      <c r="AN111" s="351" t="s">
        <v>618</v>
      </c>
      <c r="AO111" s="351" t="str">
        <f t="shared" si="2"/>
        <v>Avito.ru</v>
      </c>
      <c r="AP111" s="115">
        <f t="shared" si="409"/>
        <v>9</v>
      </c>
      <c r="AQ111" s="31">
        <f t="shared" ca="1" si="602"/>
        <v>0.25</v>
      </c>
      <c r="AR111" s="31" t="str">
        <f t="shared" ca="1" si="602"/>
        <v>Вкл.</v>
      </c>
      <c r="AS111" s="35">
        <v>0</v>
      </c>
      <c r="AT111" s="229">
        <v>0</v>
      </c>
      <c r="AU111" s="344">
        <f t="shared" ca="1" si="603"/>
        <v>800</v>
      </c>
      <c r="AV111" s="345">
        <f t="shared" ca="1" si="604"/>
        <v>800</v>
      </c>
      <c r="AW111" s="346">
        <f t="shared" ca="1" si="605"/>
        <v>800</v>
      </c>
      <c r="AX111" s="280"/>
      <c r="AY111" s="280"/>
      <c r="AZ111" s="347">
        <f t="shared" ca="1" si="606"/>
        <v>800</v>
      </c>
      <c r="BA111" s="348">
        <f t="shared" ca="1" si="607"/>
        <v>800</v>
      </c>
      <c r="BB111" s="347">
        <f t="shared" ca="1" si="608"/>
        <v>1</v>
      </c>
      <c r="BC111" s="37" t="str">
        <f t="shared" ca="1" si="608"/>
        <v>1000 контактов</v>
      </c>
      <c r="BD111" s="229" t="str">
        <f t="shared" ca="1" si="609"/>
        <v>х1000</v>
      </c>
      <c r="BE111" s="283">
        <f t="shared" ca="1" si="4"/>
        <v>0</v>
      </c>
      <c r="BF111" s="347">
        <f t="array" aca="1" ref="BF111" ca="1">SUM($K111:$V111*$BK111:$BV111)*$AZ111</f>
        <v>0</v>
      </c>
      <c r="BG111" s="347">
        <f t="array" aca="1" ref="BG111" ca="1">SUM($K111:$V111*$BY111:$CJ111*$BK111:$BV111)*$AZ111*$BX111</f>
        <v>0</v>
      </c>
      <c r="BH111" s="347">
        <f t="array" aca="1" ref="BH111" ca="1">SUM($K111:$V111*$BY111:$CJ111*$BK111:$BV111)*(1-$BE111)*$AZ111*$BX111</f>
        <v>0</v>
      </c>
      <c r="BI111" s="350">
        <f t="shared" ca="1" si="610"/>
        <v>0</v>
      </c>
      <c r="BJ111" s="275" t="str">
        <f t="shared" ca="1" si="611"/>
        <v>Да</v>
      </c>
      <c r="BK111" s="116">
        <f t="shared" ca="1" si="581"/>
        <v>0.8</v>
      </c>
      <c r="BL111" s="117">
        <f t="shared" ca="1" si="581"/>
        <v>0.9</v>
      </c>
      <c r="BM111" s="117">
        <f t="shared" ca="1" si="581"/>
        <v>1</v>
      </c>
      <c r="BN111" s="117">
        <f t="shared" ca="1" si="581"/>
        <v>1</v>
      </c>
      <c r="BO111" s="117">
        <f t="shared" ca="1" si="581"/>
        <v>1</v>
      </c>
      <c r="BP111" s="117">
        <f t="shared" ca="1" si="581"/>
        <v>1</v>
      </c>
      <c r="BQ111" s="117">
        <f t="shared" ca="1" si="581"/>
        <v>0.9</v>
      </c>
      <c r="BR111" s="117">
        <f t="shared" ca="1" si="581"/>
        <v>0.9</v>
      </c>
      <c r="BS111" s="117">
        <f t="shared" ca="1" si="581"/>
        <v>1.3</v>
      </c>
      <c r="BT111" s="117">
        <f t="shared" ca="1" si="581"/>
        <v>1.3</v>
      </c>
      <c r="BU111" s="117">
        <f t="shared" ca="1" si="581"/>
        <v>1.3</v>
      </c>
      <c r="BV111" s="278">
        <f t="shared" ca="1" si="581"/>
        <v>1.3</v>
      </c>
      <c r="BW111" s="280">
        <f t="shared" si="6"/>
        <v>8</v>
      </c>
      <c r="BX111" s="118">
        <f>IF($AN111="Ya",100%,100%+extraDelayZ)</f>
        <v>1</v>
      </c>
      <c r="BY111" s="263">
        <f t="shared" ref="BY111" si="664">(1+AA111)</f>
        <v>1</v>
      </c>
      <c r="BZ111" s="264">
        <f t="shared" ref="BZ111" si="665">(1+AB111)</f>
        <v>1</v>
      </c>
      <c r="CA111" s="264">
        <f t="shared" ref="CA111" si="666">(1+AC111)</f>
        <v>1</v>
      </c>
      <c r="CB111" s="264">
        <f t="shared" ref="CB111" si="667">(1+AD111)</f>
        <v>1</v>
      </c>
      <c r="CC111" s="264">
        <f t="shared" ref="CC111" si="668">(1+AE111)</f>
        <v>1</v>
      </c>
      <c r="CD111" s="264">
        <f t="shared" ref="CD111" si="669">(1+AF111)</f>
        <v>1</v>
      </c>
      <c r="CE111" s="264">
        <f t="shared" ref="CE111" si="670">(1+AG111)</f>
        <v>1</v>
      </c>
      <c r="CF111" s="264">
        <f t="shared" ref="CF111" si="671">(1+AH111)</f>
        <v>1</v>
      </c>
      <c r="CG111" s="264">
        <f t="shared" ref="CG111" si="672">(1+AI111)</f>
        <v>1</v>
      </c>
      <c r="CH111" s="264">
        <f t="shared" ref="CH111" si="673">(1+AJ111)</f>
        <v>1</v>
      </c>
      <c r="CI111" s="264">
        <f t="shared" ref="CI111" si="674">(1+AK111)</f>
        <v>1</v>
      </c>
      <c r="CJ111" s="265">
        <f t="shared" ref="CJ111" si="675">(1+AL111)</f>
        <v>1</v>
      </c>
      <c r="CK111" s="269">
        <f t="array" ref="CK111">IF(ISERROR(SUM($K111:$V111*$BY111:$CJ111)/SUM($K111:$V111)),1,SUM($K111:$V111*$BY111:$CJ111)/SUM($K111:$V111))-1</f>
        <v>0</v>
      </c>
      <c r="CL111" s="234"/>
    </row>
    <row r="112" spans="1:90" ht="12.75" hidden="1" outlineLevel="1" x14ac:dyDescent="0.2">
      <c r="B112" s="414" t="str">
        <f t="shared" ca="1" si="595"/>
        <v>Расхлоп/ScreenGlide 1000х120 до 1000х350</v>
      </c>
      <c r="C112" s="676" t="str">
        <f t="shared" ca="1" si="575"/>
        <v>х1000</v>
      </c>
      <c r="D112" s="415">
        <f t="shared" ca="1" si="596"/>
        <v>550</v>
      </c>
      <c r="E112" s="415">
        <f t="shared" ca="1" si="597"/>
        <v>550</v>
      </c>
      <c r="F112" s="415">
        <f t="shared" ca="1" si="598"/>
        <v>550</v>
      </c>
      <c r="G112" s="416">
        <f t="shared" ca="1" si="599"/>
        <v>550</v>
      </c>
      <c r="H112" s="416">
        <f t="shared" ca="1" si="600"/>
        <v>550</v>
      </c>
      <c r="I112" s="406">
        <f t="shared" ca="1" si="576"/>
        <v>0</v>
      </c>
      <c r="J112" s="407">
        <f t="shared" ca="1" si="577"/>
        <v>0</v>
      </c>
      <c r="K112" s="417"/>
      <c r="L112" s="418"/>
      <c r="M112" s="418"/>
      <c r="N112" s="418"/>
      <c r="O112" s="418"/>
      <c r="P112" s="418"/>
      <c r="Q112" s="418"/>
      <c r="R112" s="418"/>
      <c r="S112" s="418"/>
      <c r="T112" s="418"/>
      <c r="U112" s="418"/>
      <c r="V112" s="419"/>
      <c r="W112" s="416">
        <f t="shared" ca="1" si="1"/>
        <v>0</v>
      </c>
      <c r="X112" s="416"/>
      <c r="Y112" s="420"/>
      <c r="Z112" s="412">
        <f t="shared" si="601"/>
        <v>0</v>
      </c>
      <c r="AA112" s="421"/>
      <c r="AB112" s="421"/>
      <c r="AC112" s="421"/>
      <c r="AD112" s="421"/>
      <c r="AE112" s="421"/>
      <c r="AF112" s="421"/>
      <c r="AG112" s="421"/>
      <c r="AH112" s="421"/>
      <c r="AI112" s="421"/>
      <c r="AJ112" s="421"/>
      <c r="AK112" s="421"/>
      <c r="AL112" s="421"/>
      <c r="AM112" s="573"/>
      <c r="AN112" s="351" t="s">
        <v>618</v>
      </c>
      <c r="AO112" s="351" t="str">
        <f t="shared" si="2"/>
        <v>Avito.ru</v>
      </c>
      <c r="AP112" s="115">
        <f t="shared" si="409"/>
        <v>9</v>
      </c>
      <c r="AQ112" s="31">
        <f t="shared" ca="1" si="602"/>
        <v>0.25</v>
      </c>
      <c r="AR112" s="31" t="str">
        <f t="shared" ca="1" si="602"/>
        <v>Вкл.</v>
      </c>
      <c r="AS112" s="35">
        <v>0</v>
      </c>
      <c r="AT112" s="229">
        <v>0</v>
      </c>
      <c r="AU112" s="344">
        <f t="shared" ca="1" si="603"/>
        <v>550</v>
      </c>
      <c r="AV112" s="345">
        <f t="shared" ca="1" si="604"/>
        <v>550</v>
      </c>
      <c r="AW112" s="346">
        <f t="shared" ca="1" si="605"/>
        <v>550</v>
      </c>
      <c r="AX112" s="280"/>
      <c r="AY112" s="280"/>
      <c r="AZ112" s="347">
        <f t="shared" ca="1" si="606"/>
        <v>550</v>
      </c>
      <c r="BA112" s="348">
        <f t="shared" ca="1" si="607"/>
        <v>550</v>
      </c>
      <c r="BB112" s="347">
        <f t="shared" ca="1" si="608"/>
        <v>1</v>
      </c>
      <c r="BC112" s="37" t="str">
        <f t="shared" ca="1" si="608"/>
        <v>1000 контактов</v>
      </c>
      <c r="BD112" s="229" t="str">
        <f t="shared" ca="1" si="609"/>
        <v>х1000</v>
      </c>
      <c r="BE112" s="283">
        <f t="shared" ca="1" si="4"/>
        <v>0</v>
      </c>
      <c r="BF112" s="347">
        <f t="array" aca="1" ref="BF112" ca="1">SUM($K112:$V112*$BK112:$BV112)*$AZ112</f>
        <v>0</v>
      </c>
      <c r="BG112" s="347">
        <f t="array" aca="1" ref="BG112" ca="1">SUM($K112:$V112*$BY112:$CJ112*$BK112:$BV112)*$AZ112*$BX112</f>
        <v>0</v>
      </c>
      <c r="BH112" s="347">
        <f t="array" aca="1" ref="BH112" ca="1">SUM($K112:$V112*$BY112:$CJ112*$BK112:$BV112)*(1-$BE112)*$AZ112*$BX112</f>
        <v>0</v>
      </c>
      <c r="BI112" s="350">
        <f t="shared" ca="1" si="610"/>
        <v>0</v>
      </c>
      <c r="BJ112" s="275" t="str">
        <f t="shared" ca="1" si="611"/>
        <v>Да</v>
      </c>
      <c r="BK112" s="116">
        <f t="shared" ca="1" si="581"/>
        <v>0.8</v>
      </c>
      <c r="BL112" s="117">
        <f t="shared" ca="1" si="581"/>
        <v>0.9</v>
      </c>
      <c r="BM112" s="117">
        <f t="shared" ca="1" si="581"/>
        <v>1</v>
      </c>
      <c r="BN112" s="117">
        <f t="shared" ca="1" si="581"/>
        <v>1</v>
      </c>
      <c r="BO112" s="117">
        <f t="shared" ca="1" si="581"/>
        <v>1</v>
      </c>
      <c r="BP112" s="117">
        <f t="shared" ca="1" si="581"/>
        <v>1</v>
      </c>
      <c r="BQ112" s="117">
        <f t="shared" ca="1" si="581"/>
        <v>0.9</v>
      </c>
      <c r="BR112" s="117">
        <f t="shared" ca="1" si="581"/>
        <v>0.9</v>
      </c>
      <c r="BS112" s="117">
        <f t="shared" ca="1" si="581"/>
        <v>1.3</v>
      </c>
      <c r="BT112" s="117">
        <f t="shared" ca="1" si="581"/>
        <v>1.3</v>
      </c>
      <c r="BU112" s="117">
        <f t="shared" ca="1" si="581"/>
        <v>1.3</v>
      </c>
      <c r="BV112" s="278">
        <f t="shared" ca="1" si="581"/>
        <v>1.3</v>
      </c>
      <c r="BW112" s="280">
        <f t="shared" si="6"/>
        <v>9</v>
      </c>
      <c r="BX112" s="118">
        <f>IF($AN112="Ya",100%,100%+extraDelayZ)</f>
        <v>1</v>
      </c>
      <c r="BY112" s="263">
        <f t="shared" si="612"/>
        <v>1</v>
      </c>
      <c r="BZ112" s="264">
        <f t="shared" si="613"/>
        <v>1</v>
      </c>
      <c r="CA112" s="264">
        <f t="shared" si="614"/>
        <v>1</v>
      </c>
      <c r="CB112" s="264">
        <f t="shared" si="615"/>
        <v>1</v>
      </c>
      <c r="CC112" s="264">
        <f t="shared" si="616"/>
        <v>1</v>
      </c>
      <c r="CD112" s="264">
        <f t="shared" si="617"/>
        <v>1</v>
      </c>
      <c r="CE112" s="264">
        <f t="shared" si="618"/>
        <v>1</v>
      </c>
      <c r="CF112" s="264">
        <f t="shared" si="619"/>
        <v>1</v>
      </c>
      <c r="CG112" s="264">
        <f t="shared" si="620"/>
        <v>1</v>
      </c>
      <c r="CH112" s="264">
        <f t="shared" si="621"/>
        <v>1</v>
      </c>
      <c r="CI112" s="264">
        <f t="shared" si="622"/>
        <v>1</v>
      </c>
      <c r="CJ112" s="265">
        <f t="shared" si="623"/>
        <v>1</v>
      </c>
      <c r="CK112" s="269">
        <f t="array" ref="CK112">IF(ISERROR(SUM($K112:$V112*$BY112:$CJ112)/SUM($K112:$V112)),1,SUM($K112:$V112*$BY112:$CJ112)/SUM($K112:$V112))-1</f>
        <v>0</v>
      </c>
      <c r="CL112" s="234"/>
    </row>
    <row r="113" spans="1:90" ht="15" collapsed="1" x14ac:dyDescent="0.2">
      <c r="A113" s="391"/>
      <c r="B113" s="392" t="str">
        <f>CONCATENATE($AO113,IF($AX113&gt;0,CONCATENATE("  (план ",TEXT(INDEX(indBudX,MATCH($AN113,indPrefixX,0)),"# ##0")," руб.)"),""))</f>
        <v>Muz-tv.ru</v>
      </c>
      <c r="C113" s="650" t="s">
        <v>363</v>
      </c>
      <c r="D113" s="393"/>
      <c r="E113" s="394"/>
      <c r="F113" s="394"/>
      <c r="G113" s="395"/>
      <c r="H113" s="395"/>
      <c r="I113" s="395">
        <f t="shared" ca="1" si="576"/>
        <v>0</v>
      </c>
      <c r="J113" s="396">
        <f ca="1">$BH113</f>
        <v>0</v>
      </c>
      <c r="K113" s="397"/>
      <c r="L113" s="398"/>
      <c r="M113" s="398"/>
      <c r="N113" s="398"/>
      <c r="O113" s="398"/>
      <c r="P113" s="398"/>
      <c r="Q113" s="398"/>
      <c r="R113" s="398"/>
      <c r="S113" s="398"/>
      <c r="T113" s="398"/>
      <c r="U113" s="398"/>
      <c r="V113" s="399"/>
      <c r="W113" s="395">
        <f t="shared" ca="1" si="1"/>
        <v>0</v>
      </c>
      <c r="X113" s="576"/>
      <c r="Y113" s="400">
        <f ca="1">$BE113</f>
        <v>0</v>
      </c>
      <c r="Z113" s="401"/>
      <c r="AA113" s="402"/>
      <c r="AB113" s="402"/>
      <c r="AC113" s="402"/>
      <c r="AD113" s="402"/>
      <c r="AE113" s="402"/>
      <c r="AF113" s="402"/>
      <c r="AG113" s="402"/>
      <c r="AH113" s="402"/>
      <c r="AI113" s="402"/>
      <c r="AJ113" s="402"/>
      <c r="AK113" s="402"/>
      <c r="AL113" s="402"/>
      <c r="AM113" s="403"/>
      <c r="AN113" s="130" t="s">
        <v>426</v>
      </c>
      <c r="AO113" s="130" t="str">
        <f t="shared" si="2"/>
        <v>Muz-tv.ru</v>
      </c>
      <c r="AP113" s="119">
        <f t="shared" si="409"/>
        <v>7</v>
      </c>
      <c r="AQ113" s="120"/>
      <c r="AR113" s="120"/>
      <c r="AS113" s="121"/>
      <c r="AT113" s="228"/>
      <c r="AU113" s="232"/>
      <c r="AV113" s="179"/>
      <c r="AW113" s="233"/>
      <c r="AX113" s="279">
        <f>IF(ISERROR(INDEX(indBudX,MATCH($AN113,indPrefixX,0))),0,INDEX(indBudX,MATCH($AN113,indPrefixX,0)))</f>
        <v>0</v>
      </c>
      <c r="AY113" s="279">
        <f>IF(ISNUMBER($X113),$X113,0)</f>
        <v>0</v>
      </c>
      <c r="AZ113" s="123"/>
      <c r="BA113" s="125"/>
      <c r="BB113" s="123"/>
      <c r="BC113" s="124"/>
      <c r="BD113" s="464"/>
      <c r="BE113" s="282">
        <f t="shared" ca="1" si="4"/>
        <v>0</v>
      </c>
      <c r="BF113" s="123">
        <f t="shared" ref="BF113:BI113" ca="1" si="676">SUM(OFFSET(BF113,1,0,$AP113-1,1))</f>
        <v>0</v>
      </c>
      <c r="BG113" s="123">
        <f t="shared" ca="1" si="676"/>
        <v>0</v>
      </c>
      <c r="BH113" s="123">
        <f t="shared" ca="1" si="676"/>
        <v>0</v>
      </c>
      <c r="BI113" s="273">
        <f t="shared" ca="1" si="676"/>
        <v>0</v>
      </c>
      <c r="BJ113" s="274"/>
      <c r="BK113" s="126"/>
      <c r="BL113" s="127"/>
      <c r="BM113" s="127"/>
      <c r="BN113" s="127"/>
      <c r="BO113" s="127"/>
      <c r="BP113" s="127"/>
      <c r="BQ113" s="127"/>
      <c r="BR113" s="127"/>
      <c r="BS113" s="127"/>
      <c r="BT113" s="127"/>
      <c r="BU113" s="127"/>
      <c r="BV113" s="277"/>
      <c r="BW113" s="279">
        <f t="shared" si="6"/>
        <v>1</v>
      </c>
      <c r="BX113" s="128"/>
      <c r="BY113" s="260"/>
      <c r="BZ113" s="261"/>
      <c r="CA113" s="261"/>
      <c r="CB113" s="261"/>
      <c r="CC113" s="261"/>
      <c r="CD113" s="261"/>
      <c r="CE113" s="261"/>
      <c r="CF113" s="261"/>
      <c r="CG113" s="261"/>
      <c r="CH113" s="261"/>
      <c r="CI113" s="261"/>
      <c r="CJ113" s="262"/>
      <c r="CK113" s="270"/>
      <c r="CL113" s="234"/>
    </row>
    <row r="114" spans="1:90" ht="12.75" hidden="1" outlineLevel="1" x14ac:dyDescent="0.2">
      <c r="B114" s="404" t="str">
        <f t="shared" ref="B114:B119" ca="1" si="677">INDEX(INDIRECT(LOWER($AN114)&amp;"Price"),$BW114,2)</f>
        <v>Пакет "Охват 300К", 240х400</v>
      </c>
      <c r="C114" s="649" t="str">
        <f t="shared" ca="1" si="575"/>
        <v>Пакет</v>
      </c>
      <c r="D114" s="405">
        <f t="shared" ref="D114:D119" ca="1" si="678">$AU114</f>
        <v>350</v>
      </c>
      <c r="E114" s="405">
        <f t="shared" ref="E114:E119" ca="1" si="679">$AV114</f>
        <v>350</v>
      </c>
      <c r="F114" s="405">
        <f t="shared" ref="F114:F119" ca="1" si="680">$AW114</f>
        <v>350</v>
      </c>
      <c r="G114" s="406">
        <f t="shared" ref="G114:G119" ca="1" si="681">$AZ114</f>
        <v>105000</v>
      </c>
      <c r="H114" s="406">
        <f t="shared" ref="H114:H119" ca="1" si="682">$BA114</f>
        <v>105000</v>
      </c>
      <c r="I114" s="406">
        <f t="shared" ca="1" si="576"/>
        <v>0</v>
      </c>
      <c r="J114" s="407">
        <f t="shared" ca="1" si="577"/>
        <v>0</v>
      </c>
      <c r="K114" s="408"/>
      <c r="L114" s="409"/>
      <c r="M114" s="409"/>
      <c r="N114" s="409"/>
      <c r="O114" s="409"/>
      <c r="P114" s="409"/>
      <c r="Q114" s="409"/>
      <c r="R114" s="409"/>
      <c r="S114" s="409"/>
      <c r="T114" s="409"/>
      <c r="U114" s="409"/>
      <c r="V114" s="410"/>
      <c r="W114" s="406">
        <f t="shared" ca="1" si="1"/>
        <v>0</v>
      </c>
      <c r="X114" s="406"/>
      <c r="Y114" s="411"/>
      <c r="Z114" s="412">
        <f t="shared" ref="Z114:Z119" si="683">CK114</f>
        <v>0</v>
      </c>
      <c r="AA114" s="413"/>
      <c r="AB114" s="413"/>
      <c r="AC114" s="413"/>
      <c r="AD114" s="413"/>
      <c r="AE114" s="413"/>
      <c r="AF114" s="413"/>
      <c r="AG114" s="413"/>
      <c r="AH114" s="413"/>
      <c r="AI114" s="413"/>
      <c r="AJ114" s="413"/>
      <c r="AK114" s="413"/>
      <c r="AL114" s="413"/>
      <c r="AM114" s="572"/>
      <c r="AN114" s="351" t="s">
        <v>426</v>
      </c>
      <c r="AO114" s="351" t="str">
        <f t="shared" si="2"/>
        <v>Muz-tv.ru</v>
      </c>
      <c r="AP114" s="115">
        <f t="shared" si="409"/>
        <v>7</v>
      </c>
      <c r="AQ114" s="31">
        <f t="shared" ca="1" si="602"/>
        <v>0.25</v>
      </c>
      <c r="AR114" s="31">
        <f t="shared" ca="1" si="602"/>
        <v>0.15</v>
      </c>
      <c r="AS114" s="35">
        <v>0</v>
      </c>
      <c r="AT114" s="229">
        <v>0</v>
      </c>
      <c r="AU114" s="344">
        <f t="shared" ref="AU114:AU119" ca="1" si="684">HLOOKUP(AU$10,INDIRECT(LOWER($AN114)&amp;"Price"),$BW114,FALSE)</f>
        <v>350</v>
      </c>
      <c r="AV114" s="345">
        <f t="shared" ref="AV114:AV119" ca="1" si="685">IF(ISERROR($BG114/$BI114),$AU114,$BG114/$BI114)</f>
        <v>350</v>
      </c>
      <c r="AW114" s="346">
        <f t="shared" ref="AW114:AW119" ca="1" si="686">$AV114*(1-$BE114)</f>
        <v>350</v>
      </c>
      <c r="AX114" s="280"/>
      <c r="AY114" s="280"/>
      <c r="AZ114" s="347">
        <f t="shared" ref="AZ114:AZ119" ca="1" si="687">HLOOKUP(AZ$10,INDIRECT(LOWER($AN114)&amp;"Price"),$BW114,FALSE)</f>
        <v>105000</v>
      </c>
      <c r="BA114" s="348">
        <f t="shared" ref="BA114:BA119" ca="1" si="688">$AZ114*(1-$BE114)</f>
        <v>105000</v>
      </c>
      <c r="BB114" s="347">
        <f t="shared" ca="1" si="608"/>
        <v>300</v>
      </c>
      <c r="BC114" s="37" t="str">
        <f t="shared" ca="1" si="608"/>
        <v>Пакет</v>
      </c>
      <c r="BD114" s="229" t="str">
        <f t="shared" ref="BD114:BD119" ca="1" si="689">IF(ISERROR(VLOOKUP($BC114,typeIndexPair,2,FALSE)),"",VLOOKUP($BC114,typeIndexPair,2,FALSE))</f>
        <v>Пакет</v>
      </c>
      <c r="BE114" s="283">
        <f t="shared" ca="1" si="4"/>
        <v>0</v>
      </c>
      <c r="BF114" s="347">
        <f t="array" aca="1" ref="BF114" ca="1">SUM($K114:$V114*$BK114:$BV114)*$AZ114</f>
        <v>0</v>
      </c>
      <c r="BG114" s="347">
        <f t="array" aca="1" ref="BG114" ca="1">SUM($K114:$V114*$BY114:$CJ114*$BK114:$BV114)*$AZ114*$BX114</f>
        <v>0</v>
      </c>
      <c r="BH114" s="347">
        <f t="array" aca="1" ref="BH114" ca="1">SUM($K114:$V114*$BY114:$CJ114*$BK114:$BV114)*(1-$BE114)*$AZ114*$BX114</f>
        <v>0</v>
      </c>
      <c r="BI114" s="350">
        <f t="shared" ref="BI114:BI119" ca="1" si="690">SUM($K114:$V114)*$BB114</f>
        <v>0</v>
      </c>
      <c r="BJ114" s="275" t="str">
        <f t="shared" ref="BJ114:BJ119" ca="1" si="691">IF(ISERROR(HLOOKUP(BJ$10,INDIRECT(LOWER($AN114)&amp;"Price"),$BW114,FALSE)),"Да",HLOOKUP(BJ$10,INDIRECT(LOWER($AN114)&amp;"Price"),$BW114,FALSE))</f>
        <v>Да</v>
      </c>
      <c r="BK114" s="116">
        <f t="shared" ca="1" si="581"/>
        <v>0.8</v>
      </c>
      <c r="BL114" s="117">
        <f t="shared" ca="1" si="581"/>
        <v>0.9</v>
      </c>
      <c r="BM114" s="117">
        <f t="shared" ca="1" si="581"/>
        <v>1</v>
      </c>
      <c r="BN114" s="117">
        <f t="shared" ca="1" si="581"/>
        <v>1</v>
      </c>
      <c r="BO114" s="117">
        <f t="shared" ca="1" si="581"/>
        <v>1</v>
      </c>
      <c r="BP114" s="117">
        <f t="shared" ca="1" si="581"/>
        <v>1</v>
      </c>
      <c r="BQ114" s="117">
        <f t="shared" ca="1" si="581"/>
        <v>0.9</v>
      </c>
      <c r="BR114" s="117">
        <f t="shared" ca="1" si="581"/>
        <v>0.9</v>
      </c>
      <c r="BS114" s="117">
        <f t="shared" ca="1" si="581"/>
        <v>1.3</v>
      </c>
      <c r="BT114" s="117">
        <f t="shared" ca="1" si="581"/>
        <v>1.3</v>
      </c>
      <c r="BU114" s="117">
        <f t="shared" ca="1" si="581"/>
        <v>1.3</v>
      </c>
      <c r="BV114" s="278">
        <f t="shared" ca="1" si="581"/>
        <v>1.3</v>
      </c>
      <c r="BW114" s="280">
        <f t="shared" si="6"/>
        <v>2</v>
      </c>
      <c r="BX114" s="118">
        <f>IF($AN114="Ya",100%,100%+extraDelayZ)</f>
        <v>1</v>
      </c>
      <c r="BY114" s="263">
        <f t="shared" ref="BY114:BY119" si="692">(1+AA114)</f>
        <v>1</v>
      </c>
      <c r="BZ114" s="264">
        <f t="shared" ref="BZ114:BZ119" si="693">(1+AB114)</f>
        <v>1</v>
      </c>
      <c r="CA114" s="264">
        <f t="shared" ref="CA114:CA119" si="694">(1+AC114)</f>
        <v>1</v>
      </c>
      <c r="CB114" s="264">
        <f t="shared" ref="CB114:CB119" si="695">(1+AD114)</f>
        <v>1</v>
      </c>
      <c r="CC114" s="264">
        <f t="shared" ref="CC114:CC119" si="696">(1+AE114)</f>
        <v>1</v>
      </c>
      <c r="CD114" s="264">
        <f t="shared" ref="CD114:CD119" si="697">(1+AF114)</f>
        <v>1</v>
      </c>
      <c r="CE114" s="264">
        <f t="shared" ref="CE114:CE119" si="698">(1+AG114)</f>
        <v>1</v>
      </c>
      <c r="CF114" s="264">
        <f t="shared" ref="CF114:CF119" si="699">(1+AH114)</f>
        <v>1</v>
      </c>
      <c r="CG114" s="264">
        <f t="shared" ref="CG114:CG119" si="700">(1+AI114)</f>
        <v>1</v>
      </c>
      <c r="CH114" s="264">
        <f t="shared" ref="CH114:CH119" si="701">(1+AJ114)</f>
        <v>1</v>
      </c>
      <c r="CI114" s="264">
        <f t="shared" ref="CI114:CI119" si="702">(1+AK114)</f>
        <v>1</v>
      </c>
      <c r="CJ114" s="265">
        <f t="shared" ref="CJ114:CJ119" si="703">(1+AL114)</f>
        <v>1</v>
      </c>
      <c r="CK114" s="269">
        <f t="array" ref="CK114">IF(ISERROR(SUM($K114:$V114*$BY114:$CJ114)/SUM($K114:$V114)),1,SUM($K114:$V114*$BY114:$CJ114)/SUM($K114:$V114))-1</f>
        <v>0</v>
      </c>
      <c r="CL114" s="234"/>
    </row>
    <row r="115" spans="1:90" ht="12.75" hidden="1" outlineLevel="1" x14ac:dyDescent="0.2">
      <c r="B115" s="404" t="str">
        <f t="shared" ca="1" si="677"/>
        <v>Пакет "Охват 1000К", 240х400</v>
      </c>
      <c r="C115" s="649" t="str">
        <f t="shared" ca="1" si="575"/>
        <v>Пакет</v>
      </c>
      <c r="D115" s="405">
        <f t="shared" ca="1" si="678"/>
        <v>300</v>
      </c>
      <c r="E115" s="405">
        <f t="shared" ca="1" si="679"/>
        <v>300</v>
      </c>
      <c r="F115" s="405">
        <f t="shared" ca="1" si="680"/>
        <v>300</v>
      </c>
      <c r="G115" s="406">
        <f t="shared" ca="1" si="681"/>
        <v>300000</v>
      </c>
      <c r="H115" s="406">
        <f t="shared" ca="1" si="682"/>
        <v>300000</v>
      </c>
      <c r="I115" s="406">
        <f t="shared" ca="1" si="576"/>
        <v>0</v>
      </c>
      <c r="J115" s="407">
        <f t="shared" ca="1" si="577"/>
        <v>0</v>
      </c>
      <c r="K115" s="408"/>
      <c r="L115" s="409"/>
      <c r="M115" s="409"/>
      <c r="N115" s="409"/>
      <c r="O115" s="409"/>
      <c r="P115" s="409"/>
      <c r="Q115" s="409"/>
      <c r="R115" s="409"/>
      <c r="S115" s="409"/>
      <c r="T115" s="409"/>
      <c r="U115" s="409"/>
      <c r="V115" s="410"/>
      <c r="W115" s="406">
        <f t="shared" ca="1" si="1"/>
        <v>0</v>
      </c>
      <c r="X115" s="406"/>
      <c r="Y115" s="411"/>
      <c r="Z115" s="412">
        <f t="shared" si="683"/>
        <v>0</v>
      </c>
      <c r="AA115" s="413"/>
      <c r="AB115" s="413"/>
      <c r="AC115" s="413"/>
      <c r="AD115" s="413"/>
      <c r="AE115" s="413"/>
      <c r="AF115" s="413"/>
      <c r="AG115" s="413"/>
      <c r="AH115" s="413"/>
      <c r="AI115" s="413"/>
      <c r="AJ115" s="413"/>
      <c r="AK115" s="413"/>
      <c r="AL115" s="413"/>
      <c r="AM115" s="572"/>
      <c r="AN115" s="351" t="s">
        <v>426</v>
      </c>
      <c r="AO115" s="351" t="str">
        <f t="shared" si="2"/>
        <v>Muz-tv.ru</v>
      </c>
      <c r="AP115" s="115">
        <f t="shared" si="409"/>
        <v>7</v>
      </c>
      <c r="AQ115" s="31">
        <f t="shared" ca="1" si="602"/>
        <v>0.25</v>
      </c>
      <c r="AR115" s="31">
        <f t="shared" ca="1" si="602"/>
        <v>0.15</v>
      </c>
      <c r="AS115" s="35">
        <v>0</v>
      </c>
      <c r="AT115" s="229">
        <v>0</v>
      </c>
      <c r="AU115" s="344">
        <f t="shared" ca="1" si="684"/>
        <v>300</v>
      </c>
      <c r="AV115" s="345">
        <f t="shared" ca="1" si="685"/>
        <v>300</v>
      </c>
      <c r="AW115" s="346">
        <f t="shared" ca="1" si="686"/>
        <v>300</v>
      </c>
      <c r="AX115" s="280"/>
      <c r="AY115" s="280"/>
      <c r="AZ115" s="347">
        <f t="shared" ca="1" si="687"/>
        <v>300000</v>
      </c>
      <c r="BA115" s="348">
        <f t="shared" ca="1" si="688"/>
        <v>300000</v>
      </c>
      <c r="BB115" s="347">
        <f t="shared" ca="1" si="608"/>
        <v>1000</v>
      </c>
      <c r="BC115" s="37" t="str">
        <f t="shared" ca="1" si="608"/>
        <v>Пакет</v>
      </c>
      <c r="BD115" s="229" t="str">
        <f t="shared" ca="1" si="689"/>
        <v>Пакет</v>
      </c>
      <c r="BE115" s="283">
        <f t="shared" ca="1" si="4"/>
        <v>0</v>
      </c>
      <c r="BF115" s="347">
        <f t="array" aca="1" ref="BF115" ca="1">SUM($K115:$V115*$BK115:$BV115)*$AZ115</f>
        <v>0</v>
      </c>
      <c r="BG115" s="347">
        <f t="array" aca="1" ref="BG115" ca="1">SUM($K115:$V115*$BY115:$CJ115*$BK115:$BV115)*$AZ115*$BX115</f>
        <v>0</v>
      </c>
      <c r="BH115" s="347">
        <f t="array" aca="1" ref="BH115" ca="1">SUM($K115:$V115*$BY115:$CJ115*$BK115:$BV115)*(1-$BE115)*$AZ115*$BX115</f>
        <v>0</v>
      </c>
      <c r="BI115" s="350">
        <f t="shared" ca="1" si="690"/>
        <v>0</v>
      </c>
      <c r="BJ115" s="275" t="str">
        <f t="shared" ca="1" si="691"/>
        <v>Да</v>
      </c>
      <c r="BK115" s="116">
        <f t="shared" ca="1" si="581"/>
        <v>0.8</v>
      </c>
      <c r="BL115" s="117">
        <f t="shared" ca="1" si="581"/>
        <v>0.9</v>
      </c>
      <c r="BM115" s="117">
        <f t="shared" ca="1" si="581"/>
        <v>1</v>
      </c>
      <c r="BN115" s="117">
        <f t="shared" ca="1" si="581"/>
        <v>1</v>
      </c>
      <c r="BO115" s="117">
        <f t="shared" ca="1" si="581"/>
        <v>1</v>
      </c>
      <c r="BP115" s="117">
        <f t="shared" ca="1" si="581"/>
        <v>1</v>
      </c>
      <c r="BQ115" s="117">
        <f t="shared" ca="1" si="581"/>
        <v>0.9</v>
      </c>
      <c r="BR115" s="117">
        <f t="shared" ca="1" si="581"/>
        <v>0.9</v>
      </c>
      <c r="BS115" s="117">
        <f t="shared" ca="1" si="581"/>
        <v>1.3</v>
      </c>
      <c r="BT115" s="117">
        <f t="shared" ca="1" si="581"/>
        <v>1.3</v>
      </c>
      <c r="BU115" s="117">
        <f t="shared" ca="1" si="581"/>
        <v>1.3</v>
      </c>
      <c r="BV115" s="278">
        <f t="shared" ca="1" si="581"/>
        <v>1.3</v>
      </c>
      <c r="BW115" s="280">
        <f t="shared" si="6"/>
        <v>3</v>
      </c>
      <c r="BX115" s="118">
        <f>IF($AN115="Ya",100%,100%+extraDelayZ)</f>
        <v>1</v>
      </c>
      <c r="BY115" s="263">
        <f t="shared" si="692"/>
        <v>1</v>
      </c>
      <c r="BZ115" s="264">
        <f t="shared" si="693"/>
        <v>1</v>
      </c>
      <c r="CA115" s="264">
        <f t="shared" si="694"/>
        <v>1</v>
      </c>
      <c r="CB115" s="264">
        <f t="shared" si="695"/>
        <v>1</v>
      </c>
      <c r="CC115" s="264">
        <f t="shared" si="696"/>
        <v>1</v>
      </c>
      <c r="CD115" s="264">
        <f t="shared" si="697"/>
        <v>1</v>
      </c>
      <c r="CE115" s="264">
        <f t="shared" si="698"/>
        <v>1</v>
      </c>
      <c r="CF115" s="264">
        <f t="shared" si="699"/>
        <v>1</v>
      </c>
      <c r="CG115" s="264">
        <f t="shared" si="700"/>
        <v>1</v>
      </c>
      <c r="CH115" s="264">
        <f t="shared" si="701"/>
        <v>1</v>
      </c>
      <c r="CI115" s="264">
        <f t="shared" si="702"/>
        <v>1</v>
      </c>
      <c r="CJ115" s="265">
        <f t="shared" si="703"/>
        <v>1</v>
      </c>
      <c r="CK115" s="269">
        <f t="array" ref="CK115">IF(ISERROR(SUM($K115:$V115*$BY115:$CJ115)/SUM($K115:$V115)),1,SUM($K115:$V115*$BY115:$CJ115)/SUM($K115:$V115))-1</f>
        <v>0</v>
      </c>
      <c r="CL115" s="234"/>
    </row>
    <row r="116" spans="1:90" ht="12.75" hidden="1" outlineLevel="1" x14ac:dyDescent="0.2">
      <c r="B116" s="404" t="str">
        <f t="shared" ca="1" si="677"/>
        <v>Пакет "Охват 1500К", 240х400</v>
      </c>
      <c r="C116" s="649" t="str">
        <f t="shared" ca="1" si="575"/>
        <v>Пакет</v>
      </c>
      <c r="D116" s="405">
        <f t="shared" ca="1" si="678"/>
        <v>250</v>
      </c>
      <c r="E116" s="405">
        <f t="shared" ca="1" si="679"/>
        <v>250</v>
      </c>
      <c r="F116" s="405">
        <f t="shared" ca="1" si="680"/>
        <v>250</v>
      </c>
      <c r="G116" s="406">
        <f t="shared" ca="1" si="681"/>
        <v>375000</v>
      </c>
      <c r="H116" s="406">
        <f t="shared" ca="1" si="682"/>
        <v>375000</v>
      </c>
      <c r="I116" s="406">
        <f t="shared" ca="1" si="576"/>
        <v>0</v>
      </c>
      <c r="J116" s="407">
        <f t="shared" ca="1" si="577"/>
        <v>0</v>
      </c>
      <c r="K116" s="408"/>
      <c r="L116" s="409"/>
      <c r="M116" s="409"/>
      <c r="N116" s="409"/>
      <c r="O116" s="409"/>
      <c r="P116" s="409"/>
      <c r="Q116" s="409"/>
      <c r="R116" s="409"/>
      <c r="S116" s="409"/>
      <c r="T116" s="409"/>
      <c r="U116" s="409"/>
      <c r="V116" s="410"/>
      <c r="W116" s="406">
        <f t="shared" ca="1" si="1"/>
        <v>0</v>
      </c>
      <c r="X116" s="406"/>
      <c r="Y116" s="411"/>
      <c r="Z116" s="412">
        <f t="shared" ref="Z116" si="704">CK116</f>
        <v>0</v>
      </c>
      <c r="AA116" s="413"/>
      <c r="AB116" s="413"/>
      <c r="AC116" s="413"/>
      <c r="AD116" s="413"/>
      <c r="AE116" s="413"/>
      <c r="AF116" s="413"/>
      <c r="AG116" s="413"/>
      <c r="AH116" s="413"/>
      <c r="AI116" s="413"/>
      <c r="AJ116" s="413"/>
      <c r="AK116" s="413"/>
      <c r="AL116" s="413"/>
      <c r="AM116" s="572"/>
      <c r="AN116" s="351" t="s">
        <v>426</v>
      </c>
      <c r="AO116" s="351" t="str">
        <f t="shared" si="2"/>
        <v>Muz-tv.ru</v>
      </c>
      <c r="AP116" s="115">
        <f t="shared" si="409"/>
        <v>7</v>
      </c>
      <c r="AQ116" s="31">
        <f t="shared" ca="1" si="602"/>
        <v>0.25</v>
      </c>
      <c r="AR116" s="31">
        <f t="shared" ca="1" si="602"/>
        <v>0.15</v>
      </c>
      <c r="AS116" s="35">
        <v>0</v>
      </c>
      <c r="AT116" s="229">
        <v>0</v>
      </c>
      <c r="AU116" s="344">
        <f t="shared" ca="1" si="684"/>
        <v>250</v>
      </c>
      <c r="AV116" s="345">
        <f t="shared" ca="1" si="685"/>
        <v>250</v>
      </c>
      <c r="AW116" s="346">
        <f t="shared" ca="1" si="686"/>
        <v>250</v>
      </c>
      <c r="AX116" s="280"/>
      <c r="AY116" s="280"/>
      <c r="AZ116" s="347">
        <f t="shared" ca="1" si="687"/>
        <v>375000</v>
      </c>
      <c r="BA116" s="348">
        <f t="shared" ca="1" si="688"/>
        <v>375000</v>
      </c>
      <c r="BB116" s="347">
        <f t="shared" ca="1" si="608"/>
        <v>1500</v>
      </c>
      <c r="BC116" s="37" t="str">
        <f t="shared" ca="1" si="608"/>
        <v>Пакет</v>
      </c>
      <c r="BD116" s="229" t="str">
        <f t="shared" ca="1" si="689"/>
        <v>Пакет</v>
      </c>
      <c r="BE116" s="283">
        <f t="shared" ca="1" si="4"/>
        <v>0</v>
      </c>
      <c r="BF116" s="347">
        <f t="array" aca="1" ref="BF116" ca="1">SUM($K116:$V116*$BK116:$BV116)*$AZ116</f>
        <v>0</v>
      </c>
      <c r="BG116" s="347">
        <f t="array" aca="1" ref="BG116" ca="1">SUM($K116:$V116*$BY116:$CJ116*$BK116:$BV116)*$AZ116*$BX116</f>
        <v>0</v>
      </c>
      <c r="BH116" s="347">
        <f t="array" aca="1" ref="BH116" ca="1">SUM($K116:$V116*$BY116:$CJ116*$BK116:$BV116)*(1-$BE116)*$AZ116*$BX116</f>
        <v>0</v>
      </c>
      <c r="BI116" s="350">
        <f t="shared" ca="1" si="690"/>
        <v>0</v>
      </c>
      <c r="BJ116" s="275" t="str">
        <f t="shared" ca="1" si="691"/>
        <v>Да</v>
      </c>
      <c r="BK116" s="116">
        <f t="shared" ca="1" si="581"/>
        <v>0.8</v>
      </c>
      <c r="BL116" s="117">
        <f t="shared" ca="1" si="581"/>
        <v>0.9</v>
      </c>
      <c r="BM116" s="117">
        <f t="shared" ca="1" si="581"/>
        <v>1</v>
      </c>
      <c r="BN116" s="117">
        <f t="shared" ca="1" si="581"/>
        <v>1</v>
      </c>
      <c r="BO116" s="117">
        <f t="shared" ca="1" si="581"/>
        <v>1</v>
      </c>
      <c r="BP116" s="117">
        <f t="shared" ca="1" si="581"/>
        <v>1</v>
      </c>
      <c r="BQ116" s="117">
        <f t="shared" ca="1" si="581"/>
        <v>0.9</v>
      </c>
      <c r="BR116" s="117">
        <f t="shared" ca="1" si="581"/>
        <v>0.9</v>
      </c>
      <c r="BS116" s="117">
        <f t="shared" ca="1" si="581"/>
        <v>1.3</v>
      </c>
      <c r="BT116" s="117">
        <f t="shared" ca="1" si="581"/>
        <v>1.3</v>
      </c>
      <c r="BU116" s="117">
        <f t="shared" ca="1" si="581"/>
        <v>1.3</v>
      </c>
      <c r="BV116" s="278">
        <f t="shared" ca="1" si="581"/>
        <v>1.3</v>
      </c>
      <c r="BW116" s="280">
        <f t="shared" si="6"/>
        <v>4</v>
      </c>
      <c r="BX116" s="118">
        <f>IF($AN116="Ya",100%,100%+extraDelayZ)</f>
        <v>1</v>
      </c>
      <c r="BY116" s="263">
        <f t="shared" ref="BY116" si="705">(1+AA116)</f>
        <v>1</v>
      </c>
      <c r="BZ116" s="264">
        <f t="shared" ref="BZ116" si="706">(1+AB116)</f>
        <v>1</v>
      </c>
      <c r="CA116" s="264">
        <f t="shared" ref="CA116" si="707">(1+AC116)</f>
        <v>1</v>
      </c>
      <c r="CB116" s="264">
        <f t="shared" ref="CB116" si="708">(1+AD116)</f>
        <v>1</v>
      </c>
      <c r="CC116" s="264">
        <f t="shared" ref="CC116" si="709">(1+AE116)</f>
        <v>1</v>
      </c>
      <c r="CD116" s="264">
        <f t="shared" ref="CD116" si="710">(1+AF116)</f>
        <v>1</v>
      </c>
      <c r="CE116" s="264">
        <f t="shared" ref="CE116" si="711">(1+AG116)</f>
        <v>1</v>
      </c>
      <c r="CF116" s="264">
        <f t="shared" ref="CF116" si="712">(1+AH116)</f>
        <v>1</v>
      </c>
      <c r="CG116" s="264">
        <f t="shared" ref="CG116" si="713">(1+AI116)</f>
        <v>1</v>
      </c>
      <c r="CH116" s="264">
        <f t="shared" ref="CH116" si="714">(1+AJ116)</f>
        <v>1</v>
      </c>
      <c r="CI116" s="264">
        <f t="shared" ref="CI116" si="715">(1+AK116)</f>
        <v>1</v>
      </c>
      <c r="CJ116" s="265">
        <f t="shared" ref="CJ116" si="716">(1+AL116)</f>
        <v>1</v>
      </c>
      <c r="CK116" s="269">
        <f t="array" ref="CK116">IF(ISERROR(SUM($K116:$V116*$BY116:$CJ116)/SUM($K116:$V116)),1,SUM($K116:$V116*$BY116:$CJ116)/SUM($K116:$V116))-1</f>
        <v>0</v>
      </c>
      <c r="CL116" s="234"/>
    </row>
    <row r="117" spans="1:90" ht="12.75" hidden="1" outlineLevel="1" x14ac:dyDescent="0.2">
      <c r="B117" s="414" t="str">
        <f t="shared" ca="1" si="677"/>
        <v>Пакет "Охват 300К", 100%х90</v>
      </c>
      <c r="C117" s="649" t="str">
        <f t="shared" ca="1" si="575"/>
        <v>Пакет</v>
      </c>
      <c r="D117" s="415">
        <f t="shared" ca="1" si="678"/>
        <v>200</v>
      </c>
      <c r="E117" s="415">
        <f t="shared" ca="1" si="679"/>
        <v>200</v>
      </c>
      <c r="F117" s="415">
        <f t="shared" ca="1" si="680"/>
        <v>200</v>
      </c>
      <c r="G117" s="416">
        <f t="shared" ca="1" si="681"/>
        <v>60000</v>
      </c>
      <c r="H117" s="416">
        <f t="shared" ca="1" si="682"/>
        <v>60000</v>
      </c>
      <c r="I117" s="406">
        <f t="shared" ca="1" si="576"/>
        <v>0</v>
      </c>
      <c r="J117" s="407">
        <f t="shared" ca="1" si="577"/>
        <v>0</v>
      </c>
      <c r="K117" s="417"/>
      <c r="L117" s="418"/>
      <c r="M117" s="418"/>
      <c r="N117" s="418"/>
      <c r="O117" s="418"/>
      <c r="P117" s="418"/>
      <c r="Q117" s="418"/>
      <c r="R117" s="418"/>
      <c r="S117" s="418"/>
      <c r="T117" s="418"/>
      <c r="U117" s="418"/>
      <c r="V117" s="419"/>
      <c r="W117" s="416">
        <f t="shared" ca="1" si="1"/>
        <v>0</v>
      </c>
      <c r="X117" s="416"/>
      <c r="Y117" s="420"/>
      <c r="Z117" s="412">
        <f t="shared" ref="Z117" si="717">CK117</f>
        <v>0</v>
      </c>
      <c r="AA117" s="421"/>
      <c r="AB117" s="421"/>
      <c r="AC117" s="421"/>
      <c r="AD117" s="421"/>
      <c r="AE117" s="421"/>
      <c r="AF117" s="421"/>
      <c r="AG117" s="421"/>
      <c r="AH117" s="421"/>
      <c r="AI117" s="421"/>
      <c r="AJ117" s="421"/>
      <c r="AK117" s="421"/>
      <c r="AL117" s="421"/>
      <c r="AM117" s="573"/>
      <c r="AN117" s="351" t="s">
        <v>426</v>
      </c>
      <c r="AO117" s="351" t="str">
        <f t="shared" si="2"/>
        <v>Muz-tv.ru</v>
      </c>
      <c r="AP117" s="115">
        <f t="shared" si="409"/>
        <v>7</v>
      </c>
      <c r="AQ117" s="31">
        <f t="shared" ca="1" si="602"/>
        <v>0.25</v>
      </c>
      <c r="AR117" s="31">
        <f t="shared" ca="1" si="602"/>
        <v>0.15</v>
      </c>
      <c r="AS117" s="35">
        <v>0</v>
      </c>
      <c r="AT117" s="229">
        <v>0</v>
      </c>
      <c r="AU117" s="344">
        <f t="shared" ca="1" si="684"/>
        <v>200</v>
      </c>
      <c r="AV117" s="345">
        <f t="shared" ca="1" si="685"/>
        <v>200</v>
      </c>
      <c r="AW117" s="346">
        <f t="shared" ca="1" si="686"/>
        <v>200</v>
      </c>
      <c r="AX117" s="280"/>
      <c r="AY117" s="280"/>
      <c r="AZ117" s="347">
        <f t="shared" ca="1" si="687"/>
        <v>60000</v>
      </c>
      <c r="BA117" s="348">
        <f t="shared" ca="1" si="688"/>
        <v>60000</v>
      </c>
      <c r="BB117" s="347">
        <f t="shared" ca="1" si="608"/>
        <v>300</v>
      </c>
      <c r="BC117" s="37" t="str">
        <f t="shared" ca="1" si="608"/>
        <v>Пакет</v>
      </c>
      <c r="BD117" s="229" t="str">
        <f t="shared" ca="1" si="689"/>
        <v>Пакет</v>
      </c>
      <c r="BE117" s="283">
        <f t="shared" ca="1" si="4"/>
        <v>0</v>
      </c>
      <c r="BF117" s="347">
        <f t="array" aca="1" ref="BF117" ca="1">SUM($K117:$V117*$BK117:$BV117)*$AZ117</f>
        <v>0</v>
      </c>
      <c r="BG117" s="347">
        <f t="array" aca="1" ref="BG117" ca="1">SUM($K117:$V117*$BY117:$CJ117*$BK117:$BV117)*$AZ117*$BX117</f>
        <v>0</v>
      </c>
      <c r="BH117" s="347">
        <f t="array" aca="1" ref="BH117" ca="1">SUM($K117:$V117*$BY117:$CJ117*$BK117:$BV117)*(1-$BE117)*$AZ117*$BX117</f>
        <v>0</v>
      </c>
      <c r="BI117" s="350">
        <f t="shared" ca="1" si="690"/>
        <v>0</v>
      </c>
      <c r="BJ117" s="275" t="str">
        <f t="shared" ca="1" si="691"/>
        <v>Да</v>
      </c>
      <c r="BK117" s="116">
        <f t="shared" ca="1" si="581"/>
        <v>0.8</v>
      </c>
      <c r="BL117" s="117">
        <f t="shared" ca="1" si="581"/>
        <v>0.9</v>
      </c>
      <c r="BM117" s="117">
        <f t="shared" ca="1" si="581"/>
        <v>1</v>
      </c>
      <c r="BN117" s="117">
        <f t="shared" ca="1" si="581"/>
        <v>1</v>
      </c>
      <c r="BO117" s="117">
        <f t="shared" ca="1" si="581"/>
        <v>1</v>
      </c>
      <c r="BP117" s="117">
        <f t="shared" ca="1" si="581"/>
        <v>1</v>
      </c>
      <c r="BQ117" s="117">
        <f t="shared" ca="1" si="581"/>
        <v>0.9</v>
      </c>
      <c r="BR117" s="117">
        <f t="shared" ca="1" si="581"/>
        <v>0.9</v>
      </c>
      <c r="BS117" s="117">
        <f t="shared" ca="1" si="581"/>
        <v>1.3</v>
      </c>
      <c r="BT117" s="117">
        <f t="shared" ca="1" si="581"/>
        <v>1.3</v>
      </c>
      <c r="BU117" s="117">
        <f t="shared" ca="1" si="581"/>
        <v>1.3</v>
      </c>
      <c r="BV117" s="278">
        <f t="shared" ca="1" si="581"/>
        <v>1.3</v>
      </c>
      <c r="BW117" s="280">
        <f t="shared" si="6"/>
        <v>5</v>
      </c>
      <c r="BX117" s="118">
        <f>IF($AN117="Ya",100%,100%+extraDelayZ)</f>
        <v>1</v>
      </c>
      <c r="BY117" s="263">
        <f t="shared" ref="BY117" si="718">(1+AA117)</f>
        <v>1</v>
      </c>
      <c r="BZ117" s="264">
        <f t="shared" ref="BZ117" si="719">(1+AB117)</f>
        <v>1</v>
      </c>
      <c r="CA117" s="264">
        <f t="shared" ref="CA117" si="720">(1+AC117)</f>
        <v>1</v>
      </c>
      <c r="CB117" s="264">
        <f t="shared" ref="CB117" si="721">(1+AD117)</f>
        <v>1</v>
      </c>
      <c r="CC117" s="264">
        <f t="shared" ref="CC117" si="722">(1+AE117)</f>
        <v>1</v>
      </c>
      <c r="CD117" s="264">
        <f t="shared" ref="CD117" si="723">(1+AF117)</f>
        <v>1</v>
      </c>
      <c r="CE117" s="264">
        <f t="shared" ref="CE117" si="724">(1+AG117)</f>
        <v>1</v>
      </c>
      <c r="CF117" s="264">
        <f t="shared" ref="CF117" si="725">(1+AH117)</f>
        <v>1</v>
      </c>
      <c r="CG117" s="264">
        <f t="shared" ref="CG117" si="726">(1+AI117)</f>
        <v>1</v>
      </c>
      <c r="CH117" s="264">
        <f t="shared" ref="CH117" si="727">(1+AJ117)</f>
        <v>1</v>
      </c>
      <c r="CI117" s="264">
        <f t="shared" ref="CI117" si="728">(1+AK117)</f>
        <v>1</v>
      </c>
      <c r="CJ117" s="265">
        <f t="shared" ref="CJ117" si="729">(1+AL117)</f>
        <v>1</v>
      </c>
      <c r="CK117" s="269">
        <f t="array" ref="CK117">IF(ISERROR(SUM($K117:$V117*$BY117:$CJ117)/SUM($K117:$V117)),1,SUM($K117:$V117*$BY117:$CJ117)/SUM($K117:$V117))-1</f>
        <v>0</v>
      </c>
      <c r="CL117" s="234"/>
    </row>
    <row r="118" spans="1:90" ht="12.75" hidden="1" outlineLevel="1" x14ac:dyDescent="0.2">
      <c r="B118" s="414" t="str">
        <f t="shared" ca="1" si="677"/>
        <v>Пакет "Охват 1500К", 1000%х90</v>
      </c>
      <c r="C118" s="649" t="str">
        <f t="shared" ca="1" si="575"/>
        <v>Пакет</v>
      </c>
      <c r="D118" s="415">
        <f t="shared" ca="1" si="678"/>
        <v>100</v>
      </c>
      <c r="E118" s="415">
        <f t="shared" ca="1" si="679"/>
        <v>100</v>
      </c>
      <c r="F118" s="415">
        <f t="shared" ca="1" si="680"/>
        <v>100</v>
      </c>
      <c r="G118" s="416">
        <f t="shared" ca="1" si="681"/>
        <v>150000</v>
      </c>
      <c r="H118" s="416">
        <f t="shared" ca="1" si="682"/>
        <v>150000</v>
      </c>
      <c r="I118" s="406">
        <f t="shared" ca="1" si="576"/>
        <v>0</v>
      </c>
      <c r="J118" s="407">
        <f t="shared" ca="1" si="577"/>
        <v>0</v>
      </c>
      <c r="K118" s="417"/>
      <c r="L118" s="418"/>
      <c r="M118" s="418"/>
      <c r="N118" s="418"/>
      <c r="O118" s="418"/>
      <c r="P118" s="418"/>
      <c r="Q118" s="418"/>
      <c r="R118" s="418"/>
      <c r="S118" s="418"/>
      <c r="T118" s="418"/>
      <c r="U118" s="418"/>
      <c r="V118" s="419"/>
      <c r="W118" s="416">
        <f t="shared" ca="1" si="1"/>
        <v>0</v>
      </c>
      <c r="X118" s="416"/>
      <c r="Y118" s="420"/>
      <c r="Z118" s="412">
        <f t="shared" ref="Z118" si="730">CK118</f>
        <v>0</v>
      </c>
      <c r="AA118" s="421"/>
      <c r="AB118" s="421"/>
      <c r="AC118" s="421"/>
      <c r="AD118" s="421"/>
      <c r="AE118" s="421"/>
      <c r="AF118" s="421"/>
      <c r="AG118" s="421"/>
      <c r="AH118" s="421"/>
      <c r="AI118" s="421"/>
      <c r="AJ118" s="421"/>
      <c r="AK118" s="421"/>
      <c r="AL118" s="421"/>
      <c r="AM118" s="573"/>
      <c r="AN118" s="351" t="s">
        <v>426</v>
      </c>
      <c r="AO118" s="351" t="str">
        <f t="shared" si="2"/>
        <v>Muz-tv.ru</v>
      </c>
      <c r="AP118" s="115">
        <f t="shared" si="409"/>
        <v>7</v>
      </c>
      <c r="AQ118" s="31">
        <f t="shared" ca="1" si="602"/>
        <v>0.25</v>
      </c>
      <c r="AR118" s="31">
        <f t="shared" ca="1" si="602"/>
        <v>0.15</v>
      </c>
      <c r="AS118" s="35">
        <v>0</v>
      </c>
      <c r="AT118" s="229">
        <v>0</v>
      </c>
      <c r="AU118" s="344">
        <f t="shared" ca="1" si="684"/>
        <v>100</v>
      </c>
      <c r="AV118" s="345">
        <f t="shared" ca="1" si="685"/>
        <v>100</v>
      </c>
      <c r="AW118" s="346">
        <f t="shared" ca="1" si="686"/>
        <v>100</v>
      </c>
      <c r="AX118" s="280"/>
      <c r="AY118" s="280"/>
      <c r="AZ118" s="347">
        <f t="shared" ca="1" si="687"/>
        <v>150000</v>
      </c>
      <c r="BA118" s="348">
        <f t="shared" ca="1" si="688"/>
        <v>150000</v>
      </c>
      <c r="BB118" s="347">
        <f t="shared" ca="1" si="608"/>
        <v>1500</v>
      </c>
      <c r="BC118" s="37" t="str">
        <f t="shared" ca="1" si="608"/>
        <v>Пакет</v>
      </c>
      <c r="BD118" s="229" t="str">
        <f t="shared" ca="1" si="689"/>
        <v>Пакет</v>
      </c>
      <c r="BE118" s="283">
        <f t="shared" ca="1" si="4"/>
        <v>0</v>
      </c>
      <c r="BF118" s="347">
        <f t="array" aca="1" ref="BF118" ca="1">SUM($K118:$V118*$BK118:$BV118)*$AZ118</f>
        <v>0</v>
      </c>
      <c r="BG118" s="347">
        <f t="array" aca="1" ref="BG118" ca="1">SUM($K118:$V118*$BY118:$CJ118*$BK118:$BV118)*$AZ118*$BX118</f>
        <v>0</v>
      </c>
      <c r="BH118" s="347">
        <f t="array" aca="1" ref="BH118" ca="1">SUM($K118:$V118*$BY118:$CJ118*$BK118:$BV118)*(1-$BE118)*$AZ118*$BX118</f>
        <v>0</v>
      </c>
      <c r="BI118" s="350">
        <f t="shared" ca="1" si="690"/>
        <v>0</v>
      </c>
      <c r="BJ118" s="275" t="str">
        <f t="shared" ca="1" si="691"/>
        <v>Да</v>
      </c>
      <c r="BK118" s="116">
        <f t="shared" ca="1" si="581"/>
        <v>0.8</v>
      </c>
      <c r="BL118" s="117">
        <f t="shared" ca="1" si="581"/>
        <v>0.9</v>
      </c>
      <c r="BM118" s="117">
        <f t="shared" ca="1" si="581"/>
        <v>1</v>
      </c>
      <c r="BN118" s="117">
        <f t="shared" ca="1" si="581"/>
        <v>1</v>
      </c>
      <c r="BO118" s="117">
        <f t="shared" ca="1" si="581"/>
        <v>1</v>
      </c>
      <c r="BP118" s="117">
        <f t="shared" ca="1" si="581"/>
        <v>1</v>
      </c>
      <c r="BQ118" s="117">
        <f t="shared" ca="1" si="581"/>
        <v>0.9</v>
      </c>
      <c r="BR118" s="117">
        <f t="shared" ca="1" si="581"/>
        <v>0.9</v>
      </c>
      <c r="BS118" s="117">
        <f t="shared" ca="1" si="581"/>
        <v>1.3</v>
      </c>
      <c r="BT118" s="117">
        <f t="shared" ca="1" si="581"/>
        <v>1.3</v>
      </c>
      <c r="BU118" s="117">
        <f t="shared" ca="1" si="581"/>
        <v>1.3</v>
      </c>
      <c r="BV118" s="278">
        <f t="shared" ca="1" si="581"/>
        <v>1.3</v>
      </c>
      <c r="BW118" s="280">
        <f t="shared" si="6"/>
        <v>6</v>
      </c>
      <c r="BX118" s="118">
        <f>IF($AN118="Ya",100%,100%+extraDelayZ)</f>
        <v>1</v>
      </c>
      <c r="BY118" s="263">
        <f t="shared" ref="BY118" si="731">(1+AA118)</f>
        <v>1</v>
      </c>
      <c r="BZ118" s="264">
        <f t="shared" ref="BZ118" si="732">(1+AB118)</f>
        <v>1</v>
      </c>
      <c r="CA118" s="264">
        <f t="shared" ref="CA118" si="733">(1+AC118)</f>
        <v>1</v>
      </c>
      <c r="CB118" s="264">
        <f t="shared" ref="CB118" si="734">(1+AD118)</f>
        <v>1</v>
      </c>
      <c r="CC118" s="264">
        <f t="shared" ref="CC118" si="735">(1+AE118)</f>
        <v>1</v>
      </c>
      <c r="CD118" s="264">
        <f t="shared" ref="CD118" si="736">(1+AF118)</f>
        <v>1</v>
      </c>
      <c r="CE118" s="264">
        <f t="shared" ref="CE118" si="737">(1+AG118)</f>
        <v>1</v>
      </c>
      <c r="CF118" s="264">
        <f t="shared" ref="CF118" si="738">(1+AH118)</f>
        <v>1</v>
      </c>
      <c r="CG118" s="264">
        <f t="shared" ref="CG118" si="739">(1+AI118)</f>
        <v>1</v>
      </c>
      <c r="CH118" s="264">
        <f t="shared" ref="CH118" si="740">(1+AJ118)</f>
        <v>1</v>
      </c>
      <c r="CI118" s="264">
        <f t="shared" ref="CI118" si="741">(1+AK118)</f>
        <v>1</v>
      </c>
      <c r="CJ118" s="265">
        <f t="shared" ref="CJ118" si="742">(1+AL118)</f>
        <v>1</v>
      </c>
      <c r="CK118" s="269">
        <f t="array" ref="CK118">IF(ISERROR(SUM($K118:$V118*$BY118:$CJ118)/SUM($K118:$V118)),1,SUM($K118:$V118*$BY118:$CJ118)/SUM($K118:$V118))-1</f>
        <v>0</v>
      </c>
      <c r="CL118" s="234"/>
    </row>
    <row r="119" spans="1:90" ht="12.75" hidden="1" outlineLevel="1" x14ac:dyDescent="0.2">
      <c r="B119" s="404" t="str">
        <f t="shared" ca="1" si="677"/>
        <v>FullScreen, F=1 в сутки</v>
      </c>
      <c r="C119" s="649" t="str">
        <f t="shared" ca="1" si="575"/>
        <v>х1000</v>
      </c>
      <c r="D119" s="405">
        <f t="shared" ca="1" si="678"/>
        <v>2000</v>
      </c>
      <c r="E119" s="405">
        <f t="shared" ca="1" si="679"/>
        <v>2000</v>
      </c>
      <c r="F119" s="405">
        <f t="shared" ca="1" si="680"/>
        <v>2000</v>
      </c>
      <c r="G119" s="406">
        <f t="shared" ca="1" si="681"/>
        <v>2000</v>
      </c>
      <c r="H119" s="406">
        <f t="shared" ca="1" si="682"/>
        <v>2000</v>
      </c>
      <c r="I119" s="406">
        <f t="shared" ca="1" si="576"/>
        <v>0</v>
      </c>
      <c r="J119" s="407">
        <f t="shared" ca="1" si="577"/>
        <v>0</v>
      </c>
      <c r="K119" s="408"/>
      <c r="L119" s="409"/>
      <c r="M119" s="409"/>
      <c r="N119" s="409"/>
      <c r="O119" s="409"/>
      <c r="P119" s="409"/>
      <c r="Q119" s="409"/>
      <c r="R119" s="409"/>
      <c r="S119" s="409"/>
      <c r="T119" s="409"/>
      <c r="U119" s="409"/>
      <c r="V119" s="410"/>
      <c r="W119" s="406">
        <f t="shared" ca="1" si="1"/>
        <v>0</v>
      </c>
      <c r="X119" s="406"/>
      <c r="Y119" s="411"/>
      <c r="Z119" s="412">
        <f t="shared" si="683"/>
        <v>0</v>
      </c>
      <c r="AA119" s="413"/>
      <c r="AB119" s="413"/>
      <c r="AC119" s="413"/>
      <c r="AD119" s="413"/>
      <c r="AE119" s="413"/>
      <c r="AF119" s="413"/>
      <c r="AG119" s="413"/>
      <c r="AH119" s="413"/>
      <c r="AI119" s="413"/>
      <c r="AJ119" s="413"/>
      <c r="AK119" s="413"/>
      <c r="AL119" s="413"/>
      <c r="AM119" s="572"/>
      <c r="AN119" s="351" t="s">
        <v>426</v>
      </c>
      <c r="AO119" s="351" t="str">
        <f t="shared" si="2"/>
        <v>Muz-tv.ru</v>
      </c>
      <c r="AP119" s="115">
        <f t="shared" si="409"/>
        <v>7</v>
      </c>
      <c r="AQ119" s="31" t="str">
        <f t="shared" ca="1" si="602"/>
        <v>-</v>
      </c>
      <c r="AR119" s="31" t="str">
        <f t="shared" ca="1" si="602"/>
        <v>Вкл.</v>
      </c>
      <c r="AS119" s="35">
        <v>0</v>
      </c>
      <c r="AT119" s="229">
        <v>0</v>
      </c>
      <c r="AU119" s="344">
        <f t="shared" ca="1" si="684"/>
        <v>2000</v>
      </c>
      <c r="AV119" s="345">
        <f t="shared" ca="1" si="685"/>
        <v>2000</v>
      </c>
      <c r="AW119" s="346">
        <f t="shared" ca="1" si="686"/>
        <v>2000</v>
      </c>
      <c r="AX119" s="280"/>
      <c r="AY119" s="280"/>
      <c r="AZ119" s="347">
        <f t="shared" ca="1" si="687"/>
        <v>2000</v>
      </c>
      <c r="BA119" s="348">
        <f t="shared" ca="1" si="688"/>
        <v>2000</v>
      </c>
      <c r="BB119" s="347">
        <f t="shared" ca="1" si="608"/>
        <v>1</v>
      </c>
      <c r="BC119" s="37" t="str">
        <f t="shared" ca="1" si="608"/>
        <v>1000 контактов</v>
      </c>
      <c r="BD119" s="229" t="str">
        <f t="shared" ca="1" si="689"/>
        <v>х1000</v>
      </c>
      <c r="BE119" s="283">
        <f t="shared" ca="1" si="4"/>
        <v>0</v>
      </c>
      <c r="BF119" s="347">
        <f t="array" aca="1" ref="BF119" ca="1">SUM($K119:$V119*$BK119:$BV119)*$AZ119</f>
        <v>0</v>
      </c>
      <c r="BG119" s="347">
        <f t="array" aca="1" ref="BG119" ca="1">SUM($K119:$V119*$BY119:$CJ119*$BK119:$BV119)*$AZ119*$BX119</f>
        <v>0</v>
      </c>
      <c r="BH119" s="347">
        <f t="array" aca="1" ref="BH119" ca="1">SUM($K119:$V119*$BY119:$CJ119*$BK119:$BV119)*(1-$BE119)*$AZ119*$BX119</f>
        <v>0</v>
      </c>
      <c r="BI119" s="350">
        <f t="shared" ca="1" si="690"/>
        <v>0</v>
      </c>
      <c r="BJ119" s="275" t="str">
        <f t="shared" ca="1" si="691"/>
        <v>Да</v>
      </c>
      <c r="BK119" s="116">
        <f t="shared" ca="1" si="581"/>
        <v>0.8</v>
      </c>
      <c r="BL119" s="117">
        <f t="shared" ca="1" si="581"/>
        <v>0.9</v>
      </c>
      <c r="BM119" s="117">
        <f t="shared" ca="1" si="581"/>
        <v>1</v>
      </c>
      <c r="BN119" s="117">
        <f t="shared" ca="1" si="581"/>
        <v>1</v>
      </c>
      <c r="BO119" s="117">
        <f t="shared" ca="1" si="581"/>
        <v>1</v>
      </c>
      <c r="BP119" s="117">
        <f t="shared" ca="1" si="581"/>
        <v>1</v>
      </c>
      <c r="BQ119" s="117">
        <f t="shared" ca="1" si="581"/>
        <v>0.9</v>
      </c>
      <c r="BR119" s="117">
        <f t="shared" ca="1" si="581"/>
        <v>0.9</v>
      </c>
      <c r="BS119" s="117">
        <f t="shared" ca="1" si="581"/>
        <v>1.3</v>
      </c>
      <c r="BT119" s="117">
        <f t="shared" ca="1" si="581"/>
        <v>1.3</v>
      </c>
      <c r="BU119" s="117">
        <f t="shared" ca="1" si="581"/>
        <v>1.3</v>
      </c>
      <c r="BV119" s="278">
        <f t="shared" ca="1" si="581"/>
        <v>1.3</v>
      </c>
      <c r="BW119" s="280">
        <f t="shared" si="6"/>
        <v>7</v>
      </c>
      <c r="BX119" s="118">
        <f>IF($AN119="Ya",100%,100%+extraDelayZ)</f>
        <v>1</v>
      </c>
      <c r="BY119" s="263">
        <f t="shared" si="692"/>
        <v>1</v>
      </c>
      <c r="BZ119" s="264">
        <f t="shared" si="693"/>
        <v>1</v>
      </c>
      <c r="CA119" s="264">
        <f t="shared" si="694"/>
        <v>1</v>
      </c>
      <c r="CB119" s="264">
        <f t="shared" si="695"/>
        <v>1</v>
      </c>
      <c r="CC119" s="264">
        <f t="shared" si="696"/>
        <v>1</v>
      </c>
      <c r="CD119" s="264">
        <f t="shared" si="697"/>
        <v>1</v>
      </c>
      <c r="CE119" s="264">
        <f t="shared" si="698"/>
        <v>1</v>
      </c>
      <c r="CF119" s="264">
        <f t="shared" si="699"/>
        <v>1</v>
      </c>
      <c r="CG119" s="264">
        <f t="shared" si="700"/>
        <v>1</v>
      </c>
      <c r="CH119" s="264">
        <f t="shared" si="701"/>
        <v>1</v>
      </c>
      <c r="CI119" s="264">
        <f t="shared" si="702"/>
        <v>1</v>
      </c>
      <c r="CJ119" s="265">
        <f t="shared" si="703"/>
        <v>1</v>
      </c>
      <c r="CK119" s="269">
        <f t="array" ref="CK119">IF(ISERROR(SUM($K119:$V119*$BY119:$CJ119)/SUM($K119:$V119)),1,SUM($K119:$V119*$BY119:$CJ119)/SUM($K119:$V119))-1</f>
        <v>0</v>
      </c>
      <c r="CL119" s="234"/>
    </row>
    <row r="120" spans="1:90" ht="15" collapsed="1" x14ac:dyDescent="0.2">
      <c r="A120" s="391"/>
      <c r="B120" s="392" t="str">
        <f>CONCATENATE($AO120,IF($AX120&gt;0,CONCATENATE("  (план ",TEXT(INDEX(indBudX,MATCH($AN120,indPrefixX,0)),"# ##0")," руб.)"),""))</f>
        <v>Motor.ru</v>
      </c>
      <c r="C120" s="650" t="s">
        <v>363</v>
      </c>
      <c r="D120" s="393"/>
      <c r="E120" s="394"/>
      <c r="F120" s="394"/>
      <c r="G120" s="395"/>
      <c r="H120" s="395"/>
      <c r="I120" s="395">
        <f t="shared" ca="1" si="576"/>
        <v>0</v>
      </c>
      <c r="J120" s="396">
        <f ca="1">$BH120</f>
        <v>0</v>
      </c>
      <c r="K120" s="397"/>
      <c r="L120" s="398"/>
      <c r="M120" s="398"/>
      <c r="N120" s="398"/>
      <c r="O120" s="398"/>
      <c r="P120" s="398"/>
      <c r="Q120" s="398"/>
      <c r="R120" s="398"/>
      <c r="S120" s="398"/>
      <c r="T120" s="398"/>
      <c r="U120" s="398"/>
      <c r="V120" s="399"/>
      <c r="W120" s="395">
        <f t="shared" ca="1" si="1"/>
        <v>0</v>
      </c>
      <c r="X120" s="576"/>
      <c r="Y120" s="400">
        <f ca="1">$BE120</f>
        <v>0</v>
      </c>
      <c r="Z120" s="401"/>
      <c r="AA120" s="402"/>
      <c r="AB120" s="402"/>
      <c r="AC120" s="402"/>
      <c r="AD120" s="402"/>
      <c r="AE120" s="402"/>
      <c r="AF120" s="402"/>
      <c r="AG120" s="402"/>
      <c r="AH120" s="402"/>
      <c r="AI120" s="402"/>
      <c r="AJ120" s="402"/>
      <c r="AK120" s="402"/>
      <c r="AL120" s="402"/>
      <c r="AM120" s="403"/>
      <c r="AN120" s="130" t="s">
        <v>429</v>
      </c>
      <c r="AO120" s="130" t="str">
        <f t="shared" si="2"/>
        <v>Motor.ru</v>
      </c>
      <c r="AP120" s="119">
        <f t="shared" si="409"/>
        <v>7</v>
      </c>
      <c r="AQ120" s="120"/>
      <c r="AR120" s="120"/>
      <c r="AS120" s="121"/>
      <c r="AT120" s="228"/>
      <c r="AU120" s="232"/>
      <c r="AV120" s="179"/>
      <c r="AW120" s="233"/>
      <c r="AX120" s="279">
        <f>IF(ISERROR(INDEX(indBudX,MATCH($AN120,indPrefixX,0))),0,INDEX(indBudX,MATCH($AN120,indPrefixX,0)))</f>
        <v>0</v>
      </c>
      <c r="AY120" s="279">
        <f>IF(ISNUMBER($X120),$X120,0)</f>
        <v>0</v>
      </c>
      <c r="AZ120" s="123"/>
      <c r="BA120" s="125"/>
      <c r="BB120" s="123"/>
      <c r="BC120" s="124"/>
      <c r="BD120" s="464"/>
      <c r="BE120" s="282">
        <f t="shared" ca="1" si="4"/>
        <v>0</v>
      </c>
      <c r="BF120" s="123">
        <f t="shared" ref="BF120:BI120" ca="1" si="743">SUM(OFFSET(BF120,1,0,$AP120-1,1))</f>
        <v>0</v>
      </c>
      <c r="BG120" s="123">
        <f t="shared" ca="1" si="743"/>
        <v>0</v>
      </c>
      <c r="BH120" s="123">
        <f t="shared" ca="1" si="743"/>
        <v>0</v>
      </c>
      <c r="BI120" s="273">
        <f t="shared" ca="1" si="743"/>
        <v>0</v>
      </c>
      <c r="BJ120" s="274"/>
      <c r="BK120" s="126"/>
      <c r="BL120" s="127"/>
      <c r="BM120" s="127"/>
      <c r="BN120" s="127"/>
      <c r="BO120" s="127"/>
      <c r="BP120" s="127"/>
      <c r="BQ120" s="127"/>
      <c r="BR120" s="127"/>
      <c r="BS120" s="127"/>
      <c r="BT120" s="127"/>
      <c r="BU120" s="127"/>
      <c r="BV120" s="277"/>
      <c r="BW120" s="279">
        <f t="shared" si="6"/>
        <v>1</v>
      </c>
      <c r="BX120" s="128"/>
      <c r="BY120" s="260"/>
      <c r="BZ120" s="261"/>
      <c r="CA120" s="261"/>
      <c r="CB120" s="261"/>
      <c r="CC120" s="261"/>
      <c r="CD120" s="261"/>
      <c r="CE120" s="261"/>
      <c r="CF120" s="261"/>
      <c r="CG120" s="261"/>
      <c r="CH120" s="261"/>
      <c r="CI120" s="261"/>
      <c r="CJ120" s="262"/>
      <c r="CK120" s="270"/>
      <c r="CL120" s="234"/>
    </row>
    <row r="121" spans="1:90" ht="12.75" hidden="1" outlineLevel="1" x14ac:dyDescent="0.2">
      <c r="B121" s="404" t="str">
        <f t="shared" ref="B121:B126" ca="1" si="744">INDEX(INDIRECT(LOWER($AN121)&amp;"Price"),$BW121,2)</f>
        <v>Пакет "Охват 500К", 240х400</v>
      </c>
      <c r="C121" s="676" t="str">
        <f t="shared" ca="1" si="575"/>
        <v>Пакет</v>
      </c>
      <c r="D121" s="405">
        <f t="shared" ref="D121:D126" ca="1" si="745">$AU121</f>
        <v>600</v>
      </c>
      <c r="E121" s="405">
        <f t="shared" ref="E121:E126" ca="1" si="746">$AV121</f>
        <v>600</v>
      </c>
      <c r="F121" s="405">
        <f t="shared" ref="F121:F126" ca="1" si="747">$AW121</f>
        <v>600</v>
      </c>
      <c r="G121" s="406">
        <f t="shared" ref="G121:G126" ca="1" si="748">$AZ121</f>
        <v>300000</v>
      </c>
      <c r="H121" s="406">
        <f t="shared" ref="H121:H126" ca="1" si="749">$BA121</f>
        <v>300000</v>
      </c>
      <c r="I121" s="406">
        <f t="shared" ca="1" si="576"/>
        <v>0</v>
      </c>
      <c r="J121" s="407">
        <f t="shared" ca="1" si="577"/>
        <v>0</v>
      </c>
      <c r="K121" s="408"/>
      <c r="L121" s="409"/>
      <c r="M121" s="409"/>
      <c r="N121" s="409"/>
      <c r="O121" s="409"/>
      <c r="P121" s="409"/>
      <c r="Q121" s="409"/>
      <c r="R121" s="409"/>
      <c r="S121" s="409"/>
      <c r="T121" s="409"/>
      <c r="U121" s="409"/>
      <c r="V121" s="410"/>
      <c r="W121" s="406">
        <f t="shared" ca="1" si="1"/>
        <v>0</v>
      </c>
      <c r="X121" s="406"/>
      <c r="Y121" s="411"/>
      <c r="Z121" s="412">
        <f t="shared" ref="Z121:Z126" si="750">CK121</f>
        <v>0</v>
      </c>
      <c r="AA121" s="413"/>
      <c r="AB121" s="413"/>
      <c r="AC121" s="413"/>
      <c r="AD121" s="413"/>
      <c r="AE121" s="413"/>
      <c r="AF121" s="413"/>
      <c r="AG121" s="413"/>
      <c r="AH121" s="413"/>
      <c r="AI121" s="413"/>
      <c r="AJ121" s="413"/>
      <c r="AK121" s="413"/>
      <c r="AL121" s="413"/>
      <c r="AM121" s="572"/>
      <c r="AN121" s="351" t="s">
        <v>429</v>
      </c>
      <c r="AO121" s="351" t="str">
        <f t="shared" si="2"/>
        <v>Motor.ru</v>
      </c>
      <c r="AP121" s="115">
        <f t="shared" si="409"/>
        <v>7</v>
      </c>
      <c r="AQ121" s="31" t="str">
        <f t="shared" ca="1" si="602"/>
        <v>-</v>
      </c>
      <c r="AR121" s="31" t="str">
        <f t="shared" ca="1" si="602"/>
        <v>-</v>
      </c>
      <c r="AS121" s="35">
        <v>0</v>
      </c>
      <c r="AT121" s="229">
        <v>0</v>
      </c>
      <c r="AU121" s="344">
        <f t="shared" ref="AU121:AU126" ca="1" si="751">HLOOKUP(AU$10,INDIRECT(LOWER($AN121)&amp;"Price"),$BW121,FALSE)</f>
        <v>600</v>
      </c>
      <c r="AV121" s="345">
        <f t="shared" ref="AV121:AV126" ca="1" si="752">IF(ISERROR($BG121/$BI121),$AU121,$BG121/$BI121)</f>
        <v>600</v>
      </c>
      <c r="AW121" s="346">
        <f t="shared" ref="AW121:AW126" ca="1" si="753">$AV121*(1-$BE121)</f>
        <v>600</v>
      </c>
      <c r="AX121" s="280"/>
      <c r="AY121" s="280"/>
      <c r="AZ121" s="347">
        <f t="shared" ref="AZ121:AZ126" ca="1" si="754">HLOOKUP(AZ$10,INDIRECT(LOWER($AN121)&amp;"Price"),$BW121,FALSE)</f>
        <v>300000</v>
      </c>
      <c r="BA121" s="348">
        <f t="shared" ref="BA121:BA126" ca="1" si="755">$AZ121*(1-$BE121)</f>
        <v>300000</v>
      </c>
      <c r="BB121" s="347">
        <f t="shared" ca="1" si="608"/>
        <v>500</v>
      </c>
      <c r="BC121" s="37" t="str">
        <f t="shared" ca="1" si="608"/>
        <v>Пакет</v>
      </c>
      <c r="BD121" s="229" t="str">
        <f t="shared" ref="BD121:BD126" ca="1" si="756">IF(ISERROR(VLOOKUP($BC121,typeIndexPair,2,FALSE)),"",VLOOKUP($BC121,typeIndexPair,2,FALSE))</f>
        <v>Пакет</v>
      </c>
      <c r="BE121" s="283">
        <f t="shared" ca="1" si="4"/>
        <v>0</v>
      </c>
      <c r="BF121" s="347">
        <f t="array" aca="1" ref="BF121" ca="1">SUM($K121:$V121*$BK121:$BV121)*$AZ121</f>
        <v>0</v>
      </c>
      <c r="BG121" s="347">
        <f t="array" aca="1" ref="BG121" ca="1">SUM($K121:$V121*$BY121:$CJ121*$BK121:$BV121)*$AZ121*$BX121</f>
        <v>0</v>
      </c>
      <c r="BH121" s="347">
        <f t="array" aca="1" ref="BH121" ca="1">SUM($K121:$V121*$BY121:$CJ121*$BK121:$BV121)*(1-$BE121)*$AZ121*$BX121</f>
        <v>0</v>
      </c>
      <c r="BI121" s="350">
        <f t="shared" ref="BI121:BI126" ca="1" si="757">SUM($K121:$V121)*$BB121</f>
        <v>0</v>
      </c>
      <c r="BJ121" s="275" t="str">
        <f t="shared" ref="BJ121:BJ126" ca="1" si="758">IF(ISERROR(HLOOKUP(BJ$10,INDIRECT(LOWER($AN121)&amp;"Price"),$BW121,FALSE)),"Да",HLOOKUP(BJ$10,INDIRECT(LOWER($AN121)&amp;"Price"),$BW121,FALSE))</f>
        <v>Да</v>
      </c>
      <c r="BK121" s="116">
        <f t="shared" ca="1" si="581"/>
        <v>0.8</v>
      </c>
      <c r="BL121" s="117">
        <f t="shared" ca="1" si="581"/>
        <v>0.9</v>
      </c>
      <c r="BM121" s="117">
        <f t="shared" ca="1" si="581"/>
        <v>1</v>
      </c>
      <c r="BN121" s="117">
        <f t="shared" ca="1" si="581"/>
        <v>1</v>
      </c>
      <c r="BO121" s="117">
        <f t="shared" ca="1" si="581"/>
        <v>1</v>
      </c>
      <c r="BP121" s="117">
        <f t="shared" ca="1" si="581"/>
        <v>1</v>
      </c>
      <c r="BQ121" s="117">
        <f t="shared" ca="1" si="581"/>
        <v>0.9</v>
      </c>
      <c r="BR121" s="117">
        <f t="shared" ca="1" si="581"/>
        <v>0.9</v>
      </c>
      <c r="BS121" s="117">
        <f t="shared" ca="1" si="581"/>
        <v>1.3</v>
      </c>
      <c r="BT121" s="117">
        <f t="shared" ca="1" si="581"/>
        <v>1.3</v>
      </c>
      <c r="BU121" s="117">
        <f t="shared" ca="1" si="581"/>
        <v>1.3</v>
      </c>
      <c r="BV121" s="278">
        <f t="shared" ca="1" si="581"/>
        <v>1.3</v>
      </c>
      <c r="BW121" s="280">
        <f t="shared" si="6"/>
        <v>2</v>
      </c>
      <c r="BX121" s="118">
        <f>IF($AN121="Ya",100%,100%+extraDelayZ)</f>
        <v>1</v>
      </c>
      <c r="BY121" s="263">
        <f t="shared" ref="BY121:BY126" si="759">(1+AA121)</f>
        <v>1</v>
      </c>
      <c r="BZ121" s="264">
        <f t="shared" ref="BZ121:BZ126" si="760">(1+AB121)</f>
        <v>1</v>
      </c>
      <c r="CA121" s="264">
        <f t="shared" ref="CA121:CA126" si="761">(1+AC121)</f>
        <v>1</v>
      </c>
      <c r="CB121" s="264">
        <f t="shared" ref="CB121:CB126" si="762">(1+AD121)</f>
        <v>1</v>
      </c>
      <c r="CC121" s="264">
        <f t="shared" ref="CC121:CC126" si="763">(1+AE121)</f>
        <v>1</v>
      </c>
      <c r="CD121" s="264">
        <f t="shared" ref="CD121:CD126" si="764">(1+AF121)</f>
        <v>1</v>
      </c>
      <c r="CE121" s="264">
        <f t="shared" ref="CE121:CE126" si="765">(1+AG121)</f>
        <v>1</v>
      </c>
      <c r="CF121" s="264">
        <f t="shared" ref="CF121:CF126" si="766">(1+AH121)</f>
        <v>1</v>
      </c>
      <c r="CG121" s="264">
        <f t="shared" ref="CG121:CG126" si="767">(1+AI121)</f>
        <v>1</v>
      </c>
      <c r="CH121" s="264">
        <f t="shared" ref="CH121:CH126" si="768">(1+AJ121)</f>
        <v>1</v>
      </c>
      <c r="CI121" s="264">
        <f t="shared" ref="CI121:CI126" si="769">(1+AK121)</f>
        <v>1</v>
      </c>
      <c r="CJ121" s="265">
        <f t="shared" ref="CJ121:CJ126" si="770">(1+AL121)</f>
        <v>1</v>
      </c>
      <c r="CK121" s="269">
        <f t="array" ref="CK121">IF(ISERROR(SUM($K121:$V121*$BY121:$CJ121)/SUM($K121:$V121)),1,SUM($K121:$V121*$BY121:$CJ121)/SUM($K121:$V121))-1</f>
        <v>0</v>
      </c>
      <c r="CL121" s="234"/>
    </row>
    <row r="122" spans="1:90" ht="12.75" hidden="1" outlineLevel="1" x14ac:dyDescent="0.2">
      <c r="B122" s="404" t="str">
        <f t="shared" ca="1" si="744"/>
        <v>Пакет "Охват 1000К", 240х400</v>
      </c>
      <c r="C122" s="676" t="str">
        <f t="shared" ca="1" si="575"/>
        <v>Пакет</v>
      </c>
      <c r="D122" s="405">
        <f t="shared" ca="1" si="745"/>
        <v>550</v>
      </c>
      <c r="E122" s="405">
        <f t="shared" ca="1" si="746"/>
        <v>550</v>
      </c>
      <c r="F122" s="405">
        <f t="shared" ca="1" si="747"/>
        <v>550</v>
      </c>
      <c r="G122" s="406">
        <f t="shared" ca="1" si="748"/>
        <v>550000</v>
      </c>
      <c r="H122" s="406">
        <f t="shared" ca="1" si="749"/>
        <v>550000</v>
      </c>
      <c r="I122" s="406">
        <f t="shared" ca="1" si="576"/>
        <v>0</v>
      </c>
      <c r="J122" s="407">
        <f t="shared" ca="1" si="577"/>
        <v>0</v>
      </c>
      <c r="K122" s="408"/>
      <c r="L122" s="409"/>
      <c r="M122" s="409"/>
      <c r="N122" s="409"/>
      <c r="O122" s="409"/>
      <c r="P122" s="409"/>
      <c r="Q122" s="409"/>
      <c r="R122" s="409"/>
      <c r="S122" s="409"/>
      <c r="T122" s="409"/>
      <c r="U122" s="409"/>
      <c r="V122" s="410"/>
      <c r="W122" s="406">
        <f t="shared" ca="1" si="1"/>
        <v>0</v>
      </c>
      <c r="X122" s="406"/>
      <c r="Y122" s="411"/>
      <c r="Z122" s="412">
        <f t="shared" si="750"/>
        <v>0</v>
      </c>
      <c r="AA122" s="413"/>
      <c r="AB122" s="413"/>
      <c r="AC122" s="413"/>
      <c r="AD122" s="413"/>
      <c r="AE122" s="413"/>
      <c r="AF122" s="413"/>
      <c r="AG122" s="413"/>
      <c r="AH122" s="413"/>
      <c r="AI122" s="413"/>
      <c r="AJ122" s="413"/>
      <c r="AK122" s="413"/>
      <c r="AL122" s="413"/>
      <c r="AM122" s="572"/>
      <c r="AN122" s="351" t="s">
        <v>429</v>
      </c>
      <c r="AO122" s="351" t="str">
        <f t="shared" si="2"/>
        <v>Motor.ru</v>
      </c>
      <c r="AP122" s="115">
        <f t="shared" si="409"/>
        <v>7</v>
      </c>
      <c r="AQ122" s="31" t="str">
        <f t="shared" ca="1" si="602"/>
        <v>-</v>
      </c>
      <c r="AR122" s="31" t="str">
        <f t="shared" ca="1" si="602"/>
        <v>-</v>
      </c>
      <c r="AS122" s="35">
        <v>0</v>
      </c>
      <c r="AT122" s="229">
        <v>0</v>
      </c>
      <c r="AU122" s="344">
        <f t="shared" ca="1" si="751"/>
        <v>550</v>
      </c>
      <c r="AV122" s="345">
        <f t="shared" ca="1" si="752"/>
        <v>550</v>
      </c>
      <c r="AW122" s="346">
        <f t="shared" ca="1" si="753"/>
        <v>550</v>
      </c>
      <c r="AX122" s="280"/>
      <c r="AY122" s="280"/>
      <c r="AZ122" s="347">
        <f t="shared" ca="1" si="754"/>
        <v>550000</v>
      </c>
      <c r="BA122" s="348">
        <f t="shared" ca="1" si="755"/>
        <v>550000</v>
      </c>
      <c r="BB122" s="347">
        <f t="shared" ca="1" si="608"/>
        <v>1000</v>
      </c>
      <c r="BC122" s="37" t="str">
        <f t="shared" ca="1" si="608"/>
        <v>Пакет</v>
      </c>
      <c r="BD122" s="229" t="str">
        <f t="shared" ca="1" si="756"/>
        <v>Пакет</v>
      </c>
      <c r="BE122" s="283">
        <f t="shared" ca="1" si="4"/>
        <v>0</v>
      </c>
      <c r="BF122" s="347">
        <f t="array" aca="1" ref="BF122" ca="1">SUM($K122:$V122*$BK122:$BV122)*$AZ122</f>
        <v>0</v>
      </c>
      <c r="BG122" s="347">
        <f t="array" aca="1" ref="BG122" ca="1">SUM($K122:$V122*$BY122:$CJ122*$BK122:$BV122)*$AZ122*$BX122</f>
        <v>0</v>
      </c>
      <c r="BH122" s="347">
        <f t="array" aca="1" ref="BH122" ca="1">SUM($K122:$V122*$BY122:$CJ122*$BK122:$BV122)*(1-$BE122)*$AZ122*$BX122</f>
        <v>0</v>
      </c>
      <c r="BI122" s="350">
        <f t="shared" ca="1" si="757"/>
        <v>0</v>
      </c>
      <c r="BJ122" s="275" t="str">
        <f t="shared" ca="1" si="758"/>
        <v>Да</v>
      </c>
      <c r="BK122" s="116">
        <f t="shared" ca="1" si="581"/>
        <v>0.8</v>
      </c>
      <c r="BL122" s="117">
        <f t="shared" ca="1" si="581"/>
        <v>0.9</v>
      </c>
      <c r="BM122" s="117">
        <f t="shared" ca="1" si="581"/>
        <v>1</v>
      </c>
      <c r="BN122" s="117">
        <f t="shared" ca="1" si="581"/>
        <v>1</v>
      </c>
      <c r="BO122" s="117">
        <f t="shared" ca="1" si="581"/>
        <v>1</v>
      </c>
      <c r="BP122" s="117">
        <f t="shared" ca="1" si="581"/>
        <v>1</v>
      </c>
      <c r="BQ122" s="117">
        <f t="shared" ca="1" si="581"/>
        <v>0.9</v>
      </c>
      <c r="BR122" s="117">
        <f t="shared" ca="1" si="581"/>
        <v>0.9</v>
      </c>
      <c r="BS122" s="117">
        <f t="shared" ca="1" si="581"/>
        <v>1.3</v>
      </c>
      <c r="BT122" s="117">
        <f t="shared" ca="1" si="581"/>
        <v>1.3</v>
      </c>
      <c r="BU122" s="117">
        <f t="shared" ca="1" si="581"/>
        <v>1.3</v>
      </c>
      <c r="BV122" s="278">
        <f t="shared" ca="1" si="581"/>
        <v>1.3</v>
      </c>
      <c r="BW122" s="280">
        <f t="shared" si="6"/>
        <v>3</v>
      </c>
      <c r="BX122" s="118">
        <f>IF($AN122="Ya",100%,100%+extraDelayZ)</f>
        <v>1</v>
      </c>
      <c r="BY122" s="263">
        <f t="shared" si="759"/>
        <v>1</v>
      </c>
      <c r="BZ122" s="264">
        <f t="shared" si="760"/>
        <v>1</v>
      </c>
      <c r="CA122" s="264">
        <f t="shared" si="761"/>
        <v>1</v>
      </c>
      <c r="CB122" s="264">
        <f t="shared" si="762"/>
        <v>1</v>
      </c>
      <c r="CC122" s="264">
        <f t="shared" si="763"/>
        <v>1</v>
      </c>
      <c r="CD122" s="264">
        <f t="shared" si="764"/>
        <v>1</v>
      </c>
      <c r="CE122" s="264">
        <f t="shared" si="765"/>
        <v>1</v>
      </c>
      <c r="CF122" s="264">
        <f t="shared" si="766"/>
        <v>1</v>
      </c>
      <c r="CG122" s="264">
        <f t="shared" si="767"/>
        <v>1</v>
      </c>
      <c r="CH122" s="264">
        <f t="shared" si="768"/>
        <v>1</v>
      </c>
      <c r="CI122" s="264">
        <f t="shared" si="769"/>
        <v>1</v>
      </c>
      <c r="CJ122" s="265">
        <f t="shared" si="770"/>
        <v>1</v>
      </c>
      <c r="CK122" s="269">
        <f t="array" ref="CK122">IF(ISERROR(SUM($K122:$V122*$BY122:$CJ122)/SUM($K122:$V122)),1,SUM($K122:$V122*$BY122:$CJ122)/SUM($K122:$V122))-1</f>
        <v>0</v>
      </c>
      <c r="CL122" s="234"/>
    </row>
    <row r="123" spans="1:90" ht="12.75" hidden="1" outlineLevel="1" x14ac:dyDescent="0.2">
      <c r="B123" s="404" t="str">
        <f t="shared" ca="1" si="744"/>
        <v>Все страницы, 240х400</v>
      </c>
      <c r="C123" s="676" t="str">
        <f t="shared" ca="1" si="575"/>
        <v>х1000</v>
      </c>
      <c r="D123" s="405">
        <f t="shared" ca="1" si="745"/>
        <v>700</v>
      </c>
      <c r="E123" s="405">
        <f t="shared" ca="1" si="746"/>
        <v>700</v>
      </c>
      <c r="F123" s="405">
        <f t="shared" ca="1" si="747"/>
        <v>700</v>
      </c>
      <c r="G123" s="406">
        <f t="shared" ca="1" si="748"/>
        <v>700</v>
      </c>
      <c r="H123" s="406">
        <f t="shared" ca="1" si="749"/>
        <v>700</v>
      </c>
      <c r="I123" s="406">
        <f t="shared" ca="1" si="576"/>
        <v>0</v>
      </c>
      <c r="J123" s="407">
        <f t="shared" ca="1" si="577"/>
        <v>0</v>
      </c>
      <c r="K123" s="408"/>
      <c r="L123" s="409"/>
      <c r="M123" s="409"/>
      <c r="N123" s="409"/>
      <c r="O123" s="409"/>
      <c r="P123" s="409"/>
      <c r="Q123" s="409"/>
      <c r="R123" s="409"/>
      <c r="S123" s="409"/>
      <c r="T123" s="409"/>
      <c r="U123" s="409"/>
      <c r="V123" s="410"/>
      <c r="W123" s="406">
        <f t="shared" ca="1" si="1"/>
        <v>0</v>
      </c>
      <c r="X123" s="406"/>
      <c r="Y123" s="411"/>
      <c r="Z123" s="412">
        <f t="shared" ref="Z123:Z124" si="771">CK123</f>
        <v>0</v>
      </c>
      <c r="AA123" s="413"/>
      <c r="AB123" s="413"/>
      <c r="AC123" s="413"/>
      <c r="AD123" s="413"/>
      <c r="AE123" s="413"/>
      <c r="AF123" s="413"/>
      <c r="AG123" s="413"/>
      <c r="AH123" s="413"/>
      <c r="AI123" s="413"/>
      <c r="AJ123" s="413"/>
      <c r="AK123" s="413"/>
      <c r="AL123" s="413"/>
      <c r="AM123" s="572"/>
      <c r="AN123" s="351" t="s">
        <v>429</v>
      </c>
      <c r="AO123" s="351" t="str">
        <f t="shared" si="2"/>
        <v>Motor.ru</v>
      </c>
      <c r="AP123" s="115">
        <f t="shared" si="409"/>
        <v>7</v>
      </c>
      <c r="AQ123" s="31">
        <f t="shared" ca="1" si="602"/>
        <v>0.25</v>
      </c>
      <c r="AR123" s="31">
        <f t="shared" ca="1" si="602"/>
        <v>0.15</v>
      </c>
      <c r="AS123" s="35">
        <v>0</v>
      </c>
      <c r="AT123" s="229">
        <v>0</v>
      </c>
      <c r="AU123" s="344">
        <f t="shared" ca="1" si="751"/>
        <v>700</v>
      </c>
      <c r="AV123" s="345">
        <f t="shared" ca="1" si="752"/>
        <v>700</v>
      </c>
      <c r="AW123" s="346">
        <f t="shared" ca="1" si="753"/>
        <v>700</v>
      </c>
      <c r="AX123" s="280"/>
      <c r="AY123" s="280"/>
      <c r="AZ123" s="347">
        <f t="shared" ca="1" si="754"/>
        <v>700</v>
      </c>
      <c r="BA123" s="348">
        <f t="shared" ca="1" si="755"/>
        <v>700</v>
      </c>
      <c r="BB123" s="347">
        <f t="shared" ca="1" si="608"/>
        <v>1</v>
      </c>
      <c r="BC123" s="37" t="str">
        <f t="shared" ca="1" si="608"/>
        <v>1000 контактов</v>
      </c>
      <c r="BD123" s="229" t="str">
        <f t="shared" ca="1" si="756"/>
        <v>х1000</v>
      </c>
      <c r="BE123" s="283">
        <f t="shared" ca="1" si="4"/>
        <v>0</v>
      </c>
      <c r="BF123" s="347">
        <f t="array" aca="1" ref="BF123" ca="1">SUM($K123:$V123*$BK123:$BV123)*$AZ123</f>
        <v>0</v>
      </c>
      <c r="BG123" s="347">
        <f t="array" aca="1" ref="BG123" ca="1">SUM($K123:$V123*$BY123:$CJ123*$BK123:$BV123)*$AZ123*$BX123</f>
        <v>0</v>
      </c>
      <c r="BH123" s="347">
        <f t="array" aca="1" ref="BH123" ca="1">SUM($K123:$V123*$BY123:$CJ123*$BK123:$BV123)*(1-$BE123)*$AZ123*$BX123</f>
        <v>0</v>
      </c>
      <c r="BI123" s="350">
        <f t="shared" ca="1" si="757"/>
        <v>0</v>
      </c>
      <c r="BJ123" s="275" t="str">
        <f t="shared" ca="1" si="758"/>
        <v>Да</v>
      </c>
      <c r="BK123" s="116">
        <f t="shared" ca="1" si="581"/>
        <v>0.8</v>
      </c>
      <c r="BL123" s="117">
        <f t="shared" ca="1" si="581"/>
        <v>0.9</v>
      </c>
      <c r="BM123" s="117">
        <f t="shared" ca="1" si="581"/>
        <v>1</v>
      </c>
      <c r="BN123" s="117">
        <f t="shared" ca="1" si="581"/>
        <v>1</v>
      </c>
      <c r="BO123" s="117">
        <f t="shared" ca="1" si="581"/>
        <v>1</v>
      </c>
      <c r="BP123" s="117">
        <f t="shared" ca="1" si="581"/>
        <v>1</v>
      </c>
      <c r="BQ123" s="117">
        <f t="shared" ca="1" si="581"/>
        <v>0.9</v>
      </c>
      <c r="BR123" s="117">
        <f t="shared" ca="1" si="581"/>
        <v>0.9</v>
      </c>
      <c r="BS123" s="117">
        <f t="shared" ca="1" si="581"/>
        <v>1.3</v>
      </c>
      <c r="BT123" s="117">
        <f t="shared" ca="1" si="581"/>
        <v>1.3</v>
      </c>
      <c r="BU123" s="117">
        <f t="shared" ca="1" si="581"/>
        <v>1.3</v>
      </c>
      <c r="BV123" s="278">
        <f t="shared" ca="1" si="581"/>
        <v>1.3</v>
      </c>
      <c r="BW123" s="280">
        <f t="shared" si="6"/>
        <v>4</v>
      </c>
      <c r="BX123" s="118">
        <f>IF($AN123="Ya",100%,100%+extraDelayZ)</f>
        <v>1</v>
      </c>
      <c r="BY123" s="263">
        <f t="shared" ref="BY123:BY124" si="772">(1+AA123)</f>
        <v>1</v>
      </c>
      <c r="BZ123" s="264">
        <f t="shared" ref="BZ123:BZ124" si="773">(1+AB123)</f>
        <v>1</v>
      </c>
      <c r="CA123" s="264">
        <f t="shared" ref="CA123:CA124" si="774">(1+AC123)</f>
        <v>1</v>
      </c>
      <c r="CB123" s="264">
        <f t="shared" ref="CB123:CB124" si="775">(1+AD123)</f>
        <v>1</v>
      </c>
      <c r="CC123" s="264">
        <f t="shared" ref="CC123:CC124" si="776">(1+AE123)</f>
        <v>1</v>
      </c>
      <c r="CD123" s="264">
        <f t="shared" ref="CD123:CD124" si="777">(1+AF123)</f>
        <v>1</v>
      </c>
      <c r="CE123" s="264">
        <f t="shared" ref="CE123:CE124" si="778">(1+AG123)</f>
        <v>1</v>
      </c>
      <c r="CF123" s="264">
        <f t="shared" ref="CF123:CF124" si="779">(1+AH123)</f>
        <v>1</v>
      </c>
      <c r="CG123" s="264">
        <f t="shared" ref="CG123:CG124" si="780">(1+AI123)</f>
        <v>1</v>
      </c>
      <c r="CH123" s="264">
        <f t="shared" ref="CH123:CH124" si="781">(1+AJ123)</f>
        <v>1</v>
      </c>
      <c r="CI123" s="264">
        <f t="shared" ref="CI123:CI124" si="782">(1+AK123)</f>
        <v>1</v>
      </c>
      <c r="CJ123" s="265">
        <f t="shared" ref="CJ123:CJ124" si="783">(1+AL123)</f>
        <v>1</v>
      </c>
      <c r="CK123" s="269">
        <f t="array" ref="CK123">IF(ISERROR(SUM($K123:$V123*$BY123:$CJ123)/SUM($K123:$V123)),1,SUM($K123:$V123*$BY123:$CJ123)/SUM($K123:$V123))-1</f>
        <v>0</v>
      </c>
      <c r="CL123" s="234"/>
    </row>
    <row r="124" spans="1:90" ht="12.75" hidden="1" outlineLevel="1" x14ac:dyDescent="0.2">
      <c r="B124" s="404" t="str">
        <f t="shared" ca="1" si="744"/>
        <v>Пакет "Охват 500К", 100%х90</v>
      </c>
      <c r="C124" s="676" t="str">
        <f t="shared" ca="1" si="575"/>
        <v>Пакет</v>
      </c>
      <c r="D124" s="405">
        <f t="shared" ca="1" si="745"/>
        <v>450</v>
      </c>
      <c r="E124" s="405">
        <f t="shared" ca="1" si="746"/>
        <v>450</v>
      </c>
      <c r="F124" s="405">
        <f t="shared" ca="1" si="747"/>
        <v>450</v>
      </c>
      <c r="G124" s="406">
        <f t="shared" ca="1" si="748"/>
        <v>225000</v>
      </c>
      <c r="H124" s="406">
        <f t="shared" ca="1" si="749"/>
        <v>225000</v>
      </c>
      <c r="I124" s="406">
        <f t="shared" ca="1" si="576"/>
        <v>0</v>
      </c>
      <c r="J124" s="407">
        <f t="shared" ca="1" si="577"/>
        <v>0</v>
      </c>
      <c r="K124" s="408"/>
      <c r="L124" s="409"/>
      <c r="M124" s="409"/>
      <c r="N124" s="409"/>
      <c r="O124" s="409"/>
      <c r="P124" s="409"/>
      <c r="Q124" s="409"/>
      <c r="R124" s="409"/>
      <c r="S124" s="409"/>
      <c r="T124" s="409"/>
      <c r="U124" s="409"/>
      <c r="V124" s="410"/>
      <c r="W124" s="406">
        <f t="shared" ca="1" si="1"/>
        <v>0</v>
      </c>
      <c r="X124" s="406"/>
      <c r="Y124" s="411"/>
      <c r="Z124" s="412">
        <f t="shared" si="771"/>
        <v>0</v>
      </c>
      <c r="AA124" s="413"/>
      <c r="AB124" s="413"/>
      <c r="AC124" s="413"/>
      <c r="AD124" s="413"/>
      <c r="AE124" s="413"/>
      <c r="AF124" s="413"/>
      <c r="AG124" s="413"/>
      <c r="AH124" s="413"/>
      <c r="AI124" s="413"/>
      <c r="AJ124" s="413"/>
      <c r="AK124" s="413"/>
      <c r="AL124" s="413"/>
      <c r="AM124" s="572"/>
      <c r="AN124" s="351" t="s">
        <v>429</v>
      </c>
      <c r="AO124" s="351" t="str">
        <f t="shared" si="2"/>
        <v>Motor.ru</v>
      </c>
      <c r="AP124" s="115">
        <f t="shared" si="409"/>
        <v>7</v>
      </c>
      <c r="AQ124" s="31" t="str">
        <f t="shared" ca="1" si="602"/>
        <v>-</v>
      </c>
      <c r="AR124" s="31" t="str">
        <f t="shared" ca="1" si="602"/>
        <v>-</v>
      </c>
      <c r="AS124" s="35">
        <v>0</v>
      </c>
      <c r="AT124" s="229">
        <v>0</v>
      </c>
      <c r="AU124" s="344">
        <f t="shared" ca="1" si="751"/>
        <v>450</v>
      </c>
      <c r="AV124" s="345">
        <f t="shared" ca="1" si="752"/>
        <v>450</v>
      </c>
      <c r="AW124" s="346">
        <f t="shared" ca="1" si="753"/>
        <v>450</v>
      </c>
      <c r="AX124" s="280"/>
      <c r="AY124" s="280"/>
      <c r="AZ124" s="347">
        <f t="shared" ca="1" si="754"/>
        <v>225000</v>
      </c>
      <c r="BA124" s="348">
        <f t="shared" ca="1" si="755"/>
        <v>225000</v>
      </c>
      <c r="BB124" s="347">
        <f t="shared" ca="1" si="608"/>
        <v>500</v>
      </c>
      <c r="BC124" s="37" t="str">
        <f t="shared" ca="1" si="608"/>
        <v>Пакет</v>
      </c>
      <c r="BD124" s="229" t="str">
        <f t="shared" ca="1" si="756"/>
        <v>Пакет</v>
      </c>
      <c r="BE124" s="283">
        <f t="shared" ca="1" si="4"/>
        <v>0</v>
      </c>
      <c r="BF124" s="347">
        <f t="array" aca="1" ref="BF124" ca="1">SUM($K124:$V124*$BK124:$BV124)*$AZ124</f>
        <v>0</v>
      </c>
      <c r="BG124" s="347">
        <f t="array" aca="1" ref="BG124" ca="1">SUM($K124:$V124*$BY124:$CJ124*$BK124:$BV124)*$AZ124*$BX124</f>
        <v>0</v>
      </c>
      <c r="BH124" s="347">
        <f t="array" aca="1" ref="BH124" ca="1">SUM($K124:$V124*$BY124:$CJ124*$BK124:$BV124)*(1-$BE124)*$AZ124*$BX124</f>
        <v>0</v>
      </c>
      <c r="BI124" s="350">
        <f t="shared" ca="1" si="757"/>
        <v>0</v>
      </c>
      <c r="BJ124" s="275" t="str">
        <f t="shared" ca="1" si="758"/>
        <v>Да</v>
      </c>
      <c r="BK124" s="116">
        <f t="shared" ref="BK124:BV125" ca="1" si="784">IF($BJ124="Особ.",INDEX(INDIRECT(LOWER($AN124)&amp;"Season2"),BK$9),IF($BJ124="Да",INDEX(INDIRECT(LOWER($AN124)&amp;"Season"),BK$9),100%))</f>
        <v>0.8</v>
      </c>
      <c r="BL124" s="117">
        <f t="shared" ca="1" si="784"/>
        <v>0.9</v>
      </c>
      <c r="BM124" s="117">
        <f t="shared" ca="1" si="784"/>
        <v>1</v>
      </c>
      <c r="BN124" s="117">
        <f t="shared" ca="1" si="784"/>
        <v>1</v>
      </c>
      <c r="BO124" s="117">
        <f t="shared" ca="1" si="784"/>
        <v>1</v>
      </c>
      <c r="BP124" s="117">
        <f t="shared" ca="1" si="784"/>
        <v>1</v>
      </c>
      <c r="BQ124" s="117">
        <f t="shared" ca="1" si="784"/>
        <v>0.9</v>
      </c>
      <c r="BR124" s="117">
        <f t="shared" ca="1" si="784"/>
        <v>0.9</v>
      </c>
      <c r="BS124" s="117">
        <f t="shared" ca="1" si="784"/>
        <v>1.3</v>
      </c>
      <c r="BT124" s="117">
        <f t="shared" ca="1" si="784"/>
        <v>1.3</v>
      </c>
      <c r="BU124" s="117">
        <f t="shared" ca="1" si="784"/>
        <v>1.3</v>
      </c>
      <c r="BV124" s="278">
        <f t="shared" ca="1" si="784"/>
        <v>1.3</v>
      </c>
      <c r="BW124" s="280">
        <f t="shared" si="6"/>
        <v>5</v>
      </c>
      <c r="BX124" s="118">
        <f>IF($AN124="Ya",100%,100%+extraDelayZ)</f>
        <v>1</v>
      </c>
      <c r="BY124" s="263">
        <f t="shared" si="772"/>
        <v>1</v>
      </c>
      <c r="BZ124" s="264">
        <f t="shared" si="773"/>
        <v>1</v>
      </c>
      <c r="CA124" s="264">
        <f t="shared" si="774"/>
        <v>1</v>
      </c>
      <c r="CB124" s="264">
        <f t="shared" si="775"/>
        <v>1</v>
      </c>
      <c r="CC124" s="264">
        <f t="shared" si="776"/>
        <v>1</v>
      </c>
      <c r="CD124" s="264">
        <f t="shared" si="777"/>
        <v>1</v>
      </c>
      <c r="CE124" s="264">
        <f t="shared" si="778"/>
        <v>1</v>
      </c>
      <c r="CF124" s="264">
        <f t="shared" si="779"/>
        <v>1</v>
      </c>
      <c r="CG124" s="264">
        <f t="shared" si="780"/>
        <v>1</v>
      </c>
      <c r="CH124" s="264">
        <f t="shared" si="781"/>
        <v>1</v>
      </c>
      <c r="CI124" s="264">
        <f t="shared" si="782"/>
        <v>1</v>
      </c>
      <c r="CJ124" s="265">
        <f t="shared" si="783"/>
        <v>1</v>
      </c>
      <c r="CK124" s="269">
        <f t="array" ref="CK124">IF(ISERROR(SUM($K124:$V124*$BY124:$CJ124)/SUM($K124:$V124)),1,SUM($K124:$V124*$BY124:$CJ124)/SUM($K124:$V124))-1</f>
        <v>0</v>
      </c>
      <c r="CL124" s="234"/>
    </row>
    <row r="125" spans="1:90" ht="12.75" hidden="1" outlineLevel="1" x14ac:dyDescent="0.2">
      <c r="B125" s="404" t="str">
        <f t="shared" ca="1" si="744"/>
        <v>Пакет "Охват 1000К, 100%х90</v>
      </c>
      <c r="C125" s="676" t="str">
        <f t="shared" ca="1" si="575"/>
        <v>Пакет</v>
      </c>
      <c r="D125" s="405">
        <f t="shared" ca="1" si="745"/>
        <v>400</v>
      </c>
      <c r="E125" s="405">
        <f t="shared" ca="1" si="746"/>
        <v>400</v>
      </c>
      <c r="F125" s="405">
        <f t="shared" ca="1" si="747"/>
        <v>400</v>
      </c>
      <c r="G125" s="406">
        <f t="shared" ca="1" si="748"/>
        <v>400000</v>
      </c>
      <c r="H125" s="406">
        <f t="shared" ca="1" si="749"/>
        <v>400000</v>
      </c>
      <c r="I125" s="406">
        <f t="shared" ca="1" si="576"/>
        <v>0</v>
      </c>
      <c r="J125" s="407">
        <f t="shared" ca="1" si="577"/>
        <v>0</v>
      </c>
      <c r="K125" s="408"/>
      <c r="L125" s="409"/>
      <c r="M125" s="409"/>
      <c r="N125" s="409"/>
      <c r="O125" s="409"/>
      <c r="P125" s="409"/>
      <c r="Q125" s="409"/>
      <c r="R125" s="409"/>
      <c r="S125" s="409"/>
      <c r="T125" s="409"/>
      <c r="U125" s="409"/>
      <c r="V125" s="410"/>
      <c r="W125" s="406">
        <f t="shared" ca="1" si="1"/>
        <v>0</v>
      </c>
      <c r="X125" s="406"/>
      <c r="Y125" s="411"/>
      <c r="Z125" s="412">
        <f t="shared" ref="Z125" si="785">CK125</f>
        <v>0</v>
      </c>
      <c r="AA125" s="413"/>
      <c r="AB125" s="413"/>
      <c r="AC125" s="413"/>
      <c r="AD125" s="413"/>
      <c r="AE125" s="413"/>
      <c r="AF125" s="413"/>
      <c r="AG125" s="413"/>
      <c r="AH125" s="413"/>
      <c r="AI125" s="413"/>
      <c r="AJ125" s="413"/>
      <c r="AK125" s="413"/>
      <c r="AL125" s="413"/>
      <c r="AM125" s="572"/>
      <c r="AN125" s="351" t="s">
        <v>429</v>
      </c>
      <c r="AO125" s="351" t="str">
        <f t="shared" si="2"/>
        <v>Motor.ru</v>
      </c>
      <c r="AP125" s="115">
        <f t="shared" si="409"/>
        <v>7</v>
      </c>
      <c r="AQ125" s="31" t="str">
        <f t="shared" ca="1" si="602"/>
        <v>-</v>
      </c>
      <c r="AR125" s="31" t="str">
        <f t="shared" ca="1" si="602"/>
        <v>-</v>
      </c>
      <c r="AS125" s="35">
        <v>0</v>
      </c>
      <c r="AT125" s="229">
        <v>0</v>
      </c>
      <c r="AU125" s="344">
        <f t="shared" ca="1" si="751"/>
        <v>400</v>
      </c>
      <c r="AV125" s="345">
        <f t="shared" ca="1" si="752"/>
        <v>400</v>
      </c>
      <c r="AW125" s="346">
        <f t="shared" ca="1" si="753"/>
        <v>400</v>
      </c>
      <c r="AX125" s="280"/>
      <c r="AY125" s="280"/>
      <c r="AZ125" s="347">
        <f t="shared" ca="1" si="754"/>
        <v>400000</v>
      </c>
      <c r="BA125" s="348">
        <f t="shared" ca="1" si="755"/>
        <v>400000</v>
      </c>
      <c r="BB125" s="347">
        <f t="shared" ca="1" si="608"/>
        <v>1000</v>
      </c>
      <c r="BC125" s="37" t="str">
        <f t="shared" ca="1" si="608"/>
        <v>Пакет</v>
      </c>
      <c r="BD125" s="229" t="str">
        <f t="shared" ca="1" si="756"/>
        <v>Пакет</v>
      </c>
      <c r="BE125" s="283">
        <f t="shared" ca="1" si="4"/>
        <v>0</v>
      </c>
      <c r="BF125" s="347">
        <f t="array" aca="1" ref="BF125" ca="1">SUM($K125:$V125*$BK125:$BV125)*$AZ125</f>
        <v>0</v>
      </c>
      <c r="BG125" s="347">
        <f t="array" aca="1" ref="BG125" ca="1">SUM($K125:$V125*$BY125:$CJ125*$BK125:$BV125)*$AZ125*$BX125</f>
        <v>0</v>
      </c>
      <c r="BH125" s="347">
        <f t="array" aca="1" ref="BH125" ca="1">SUM($K125:$V125*$BY125:$CJ125*$BK125:$BV125)*(1-$BE125)*$AZ125*$BX125</f>
        <v>0</v>
      </c>
      <c r="BI125" s="350">
        <f t="shared" ca="1" si="757"/>
        <v>0</v>
      </c>
      <c r="BJ125" s="275" t="str">
        <f t="shared" ca="1" si="758"/>
        <v>Да</v>
      </c>
      <c r="BK125" s="116">
        <f t="shared" ca="1" si="784"/>
        <v>0.8</v>
      </c>
      <c r="BL125" s="117">
        <f t="shared" ca="1" si="784"/>
        <v>0.9</v>
      </c>
      <c r="BM125" s="117">
        <f t="shared" ca="1" si="784"/>
        <v>1</v>
      </c>
      <c r="BN125" s="117">
        <f t="shared" ca="1" si="784"/>
        <v>1</v>
      </c>
      <c r="BO125" s="117">
        <f t="shared" ca="1" si="784"/>
        <v>1</v>
      </c>
      <c r="BP125" s="117">
        <f t="shared" ca="1" si="784"/>
        <v>1</v>
      </c>
      <c r="BQ125" s="117">
        <f t="shared" ca="1" si="784"/>
        <v>0.9</v>
      </c>
      <c r="BR125" s="117">
        <f t="shared" ca="1" si="784"/>
        <v>0.9</v>
      </c>
      <c r="BS125" s="117">
        <f t="shared" ca="1" si="784"/>
        <v>1.3</v>
      </c>
      <c r="BT125" s="117">
        <f t="shared" ca="1" si="784"/>
        <v>1.3</v>
      </c>
      <c r="BU125" s="117">
        <f t="shared" ca="1" si="784"/>
        <v>1.3</v>
      </c>
      <c r="BV125" s="278">
        <f t="shared" ca="1" si="784"/>
        <v>1.3</v>
      </c>
      <c r="BW125" s="280">
        <f t="shared" si="6"/>
        <v>6</v>
      </c>
      <c r="BX125" s="118">
        <f>IF($AN125="Ya",100%,100%+extraDelayZ)</f>
        <v>1</v>
      </c>
      <c r="BY125" s="263">
        <f t="shared" ref="BY125" si="786">(1+AA125)</f>
        <v>1</v>
      </c>
      <c r="BZ125" s="264">
        <f t="shared" ref="BZ125" si="787">(1+AB125)</f>
        <v>1</v>
      </c>
      <c r="CA125" s="264">
        <f t="shared" ref="CA125" si="788">(1+AC125)</f>
        <v>1</v>
      </c>
      <c r="CB125" s="264">
        <f t="shared" ref="CB125" si="789">(1+AD125)</f>
        <v>1</v>
      </c>
      <c r="CC125" s="264">
        <f t="shared" ref="CC125" si="790">(1+AE125)</f>
        <v>1</v>
      </c>
      <c r="CD125" s="264">
        <f t="shared" ref="CD125" si="791">(1+AF125)</f>
        <v>1</v>
      </c>
      <c r="CE125" s="264">
        <f t="shared" ref="CE125" si="792">(1+AG125)</f>
        <v>1</v>
      </c>
      <c r="CF125" s="264">
        <f t="shared" ref="CF125" si="793">(1+AH125)</f>
        <v>1</v>
      </c>
      <c r="CG125" s="264">
        <f t="shared" ref="CG125" si="794">(1+AI125)</f>
        <v>1</v>
      </c>
      <c r="CH125" s="264">
        <f t="shared" ref="CH125" si="795">(1+AJ125)</f>
        <v>1</v>
      </c>
      <c r="CI125" s="264">
        <f t="shared" ref="CI125" si="796">(1+AK125)</f>
        <v>1</v>
      </c>
      <c r="CJ125" s="265">
        <f t="shared" ref="CJ125" si="797">(1+AL125)</f>
        <v>1</v>
      </c>
      <c r="CK125" s="269">
        <f t="array" ref="CK125">IF(ISERROR(SUM($K125:$V125*$BY125:$CJ125)/SUM($K125:$V125)),1,SUM($K125:$V125*$BY125:$CJ125)/SUM($K125:$V125))-1</f>
        <v>0</v>
      </c>
      <c r="CL125" s="234"/>
    </row>
    <row r="126" spans="1:90" ht="12.75" hidden="1" outlineLevel="1" x14ac:dyDescent="0.2">
      <c r="B126" s="414" t="str">
        <f t="shared" ca="1" si="744"/>
        <v>Все страницы, 100%х90</v>
      </c>
      <c r="C126" s="676" t="str">
        <f t="shared" ca="1" si="575"/>
        <v>х1000</v>
      </c>
      <c r="D126" s="415">
        <f t="shared" ca="1" si="745"/>
        <v>500</v>
      </c>
      <c r="E126" s="415">
        <f t="shared" ca="1" si="746"/>
        <v>500</v>
      </c>
      <c r="F126" s="415">
        <f t="shared" ca="1" si="747"/>
        <v>500</v>
      </c>
      <c r="G126" s="416">
        <f t="shared" ca="1" si="748"/>
        <v>500</v>
      </c>
      <c r="H126" s="416">
        <f t="shared" ca="1" si="749"/>
        <v>500</v>
      </c>
      <c r="I126" s="406">
        <f t="shared" ca="1" si="576"/>
        <v>0</v>
      </c>
      <c r="J126" s="407">
        <f t="shared" ca="1" si="577"/>
        <v>0</v>
      </c>
      <c r="K126" s="417"/>
      <c r="L126" s="418"/>
      <c r="M126" s="418"/>
      <c r="N126" s="418"/>
      <c r="O126" s="418"/>
      <c r="P126" s="418"/>
      <c r="Q126" s="418"/>
      <c r="R126" s="418"/>
      <c r="S126" s="418"/>
      <c r="T126" s="418"/>
      <c r="U126" s="418"/>
      <c r="V126" s="419"/>
      <c r="W126" s="416">
        <f t="shared" ca="1" si="1"/>
        <v>0</v>
      </c>
      <c r="X126" s="416"/>
      <c r="Y126" s="420"/>
      <c r="Z126" s="412">
        <f t="shared" si="750"/>
        <v>0</v>
      </c>
      <c r="AA126" s="421"/>
      <c r="AB126" s="421"/>
      <c r="AC126" s="421"/>
      <c r="AD126" s="421"/>
      <c r="AE126" s="421"/>
      <c r="AF126" s="421"/>
      <c r="AG126" s="421"/>
      <c r="AH126" s="421"/>
      <c r="AI126" s="421"/>
      <c r="AJ126" s="421"/>
      <c r="AK126" s="421"/>
      <c r="AL126" s="421"/>
      <c r="AM126" s="573"/>
      <c r="AN126" s="351" t="s">
        <v>429</v>
      </c>
      <c r="AO126" s="351" t="str">
        <f t="shared" si="2"/>
        <v>Motor.ru</v>
      </c>
      <c r="AP126" s="115">
        <f t="shared" si="409"/>
        <v>7</v>
      </c>
      <c r="AQ126" s="31">
        <f t="shared" ca="1" si="602"/>
        <v>0.25</v>
      </c>
      <c r="AR126" s="31">
        <f t="shared" ca="1" si="602"/>
        <v>0.15</v>
      </c>
      <c r="AS126" s="35">
        <v>0</v>
      </c>
      <c r="AT126" s="229">
        <v>0</v>
      </c>
      <c r="AU126" s="344">
        <f t="shared" ca="1" si="751"/>
        <v>500</v>
      </c>
      <c r="AV126" s="345">
        <f t="shared" ca="1" si="752"/>
        <v>500</v>
      </c>
      <c r="AW126" s="346">
        <f t="shared" ca="1" si="753"/>
        <v>500</v>
      </c>
      <c r="AX126" s="280"/>
      <c r="AY126" s="280"/>
      <c r="AZ126" s="347">
        <f t="shared" ca="1" si="754"/>
        <v>500</v>
      </c>
      <c r="BA126" s="348">
        <f t="shared" ca="1" si="755"/>
        <v>500</v>
      </c>
      <c r="BB126" s="347">
        <f t="shared" ca="1" si="608"/>
        <v>1</v>
      </c>
      <c r="BC126" s="37" t="str">
        <f t="shared" ca="1" si="608"/>
        <v>1000 контактов</v>
      </c>
      <c r="BD126" s="229" t="str">
        <f t="shared" ca="1" si="756"/>
        <v>х1000</v>
      </c>
      <c r="BE126" s="283">
        <f t="shared" ca="1" si="4"/>
        <v>0</v>
      </c>
      <c r="BF126" s="347">
        <f t="array" aca="1" ref="BF126" ca="1">SUM($K126:$V126*$BK126:$BV126)*$AZ126</f>
        <v>0</v>
      </c>
      <c r="BG126" s="347">
        <f t="array" aca="1" ref="BG126" ca="1">SUM($K126:$V126*$BY126:$CJ126*$BK126:$BV126)*$AZ126*$BX126</f>
        <v>0</v>
      </c>
      <c r="BH126" s="347">
        <f t="array" aca="1" ref="BH126" ca="1">SUM($K126:$V126*$BY126:$CJ126*$BK126:$BV126)*(1-$BE126)*$AZ126*$BX126</f>
        <v>0</v>
      </c>
      <c r="BI126" s="350">
        <f t="shared" ca="1" si="757"/>
        <v>0</v>
      </c>
      <c r="BJ126" s="275" t="str">
        <f t="shared" ca="1" si="758"/>
        <v>Да</v>
      </c>
      <c r="BK126" s="116">
        <f t="shared" ca="1" si="581"/>
        <v>0.8</v>
      </c>
      <c r="BL126" s="117">
        <f t="shared" ca="1" si="581"/>
        <v>0.9</v>
      </c>
      <c r="BM126" s="117">
        <f t="shared" ca="1" si="581"/>
        <v>1</v>
      </c>
      <c r="BN126" s="117">
        <f t="shared" ca="1" si="581"/>
        <v>1</v>
      </c>
      <c r="BO126" s="117">
        <f t="shared" ca="1" si="581"/>
        <v>1</v>
      </c>
      <c r="BP126" s="117">
        <f t="shared" ca="1" si="581"/>
        <v>1</v>
      </c>
      <c r="BQ126" s="117">
        <f t="shared" ca="1" si="581"/>
        <v>0.9</v>
      </c>
      <c r="BR126" s="117">
        <f t="shared" ca="1" si="581"/>
        <v>0.9</v>
      </c>
      <c r="BS126" s="117">
        <f t="shared" ca="1" si="581"/>
        <v>1.3</v>
      </c>
      <c r="BT126" s="117">
        <f t="shared" ca="1" si="581"/>
        <v>1.3</v>
      </c>
      <c r="BU126" s="117">
        <f t="shared" ca="1" si="581"/>
        <v>1.3</v>
      </c>
      <c r="BV126" s="278">
        <f t="shared" ca="1" si="581"/>
        <v>1.3</v>
      </c>
      <c r="BW126" s="280">
        <f t="shared" si="6"/>
        <v>7</v>
      </c>
      <c r="BX126" s="118">
        <f>IF($AN126="Ya",100%,100%+extraDelayZ)</f>
        <v>1</v>
      </c>
      <c r="BY126" s="263">
        <f t="shared" si="759"/>
        <v>1</v>
      </c>
      <c r="BZ126" s="264">
        <f t="shared" si="760"/>
        <v>1</v>
      </c>
      <c r="CA126" s="264">
        <f t="shared" si="761"/>
        <v>1</v>
      </c>
      <c r="CB126" s="264">
        <f t="shared" si="762"/>
        <v>1</v>
      </c>
      <c r="CC126" s="264">
        <f t="shared" si="763"/>
        <v>1</v>
      </c>
      <c r="CD126" s="264">
        <f t="shared" si="764"/>
        <v>1</v>
      </c>
      <c r="CE126" s="264">
        <f t="shared" si="765"/>
        <v>1</v>
      </c>
      <c r="CF126" s="264">
        <f t="shared" si="766"/>
        <v>1</v>
      </c>
      <c r="CG126" s="264">
        <f t="shared" si="767"/>
        <v>1</v>
      </c>
      <c r="CH126" s="264">
        <f t="shared" si="768"/>
        <v>1</v>
      </c>
      <c r="CI126" s="264">
        <f t="shared" si="769"/>
        <v>1</v>
      </c>
      <c r="CJ126" s="265">
        <f t="shared" si="770"/>
        <v>1</v>
      </c>
      <c r="CK126" s="269">
        <f t="array" ref="CK126">IF(ISERROR(SUM($K126:$V126*$BY126:$CJ126)/SUM($K126:$V126)),1,SUM($K126:$V126*$BY126:$CJ126)/SUM($K126:$V126))-1</f>
        <v>0</v>
      </c>
      <c r="CL126" s="234"/>
    </row>
    <row r="127" spans="1:90" ht="15" collapsed="1" x14ac:dyDescent="0.2">
      <c r="A127" s="391"/>
      <c r="B127" s="392" t="str">
        <f>CONCATENATE($AO127,IF($AX127&gt;0,CONCATENATE("  (план ",TEXT(INDEX(indBudX,MATCH($AN127,indPrefixX,0)),"# ##0")," руб.)"),""))</f>
        <v>Kommersant.ru</v>
      </c>
      <c r="C127" s="650" t="s">
        <v>363</v>
      </c>
      <c r="D127" s="393"/>
      <c r="E127" s="394"/>
      <c r="F127" s="394"/>
      <c r="G127" s="395"/>
      <c r="H127" s="395"/>
      <c r="I127" s="395">
        <f t="shared" ca="1" si="576"/>
        <v>0</v>
      </c>
      <c r="J127" s="396">
        <f ca="1">$BH127</f>
        <v>0</v>
      </c>
      <c r="K127" s="397"/>
      <c r="L127" s="398"/>
      <c r="M127" s="398"/>
      <c r="N127" s="398"/>
      <c r="O127" s="398"/>
      <c r="P127" s="398"/>
      <c r="Q127" s="398"/>
      <c r="R127" s="398"/>
      <c r="S127" s="398"/>
      <c r="T127" s="398"/>
      <c r="U127" s="398"/>
      <c r="V127" s="399"/>
      <c r="W127" s="395">
        <f t="shared" ca="1" si="1"/>
        <v>0</v>
      </c>
      <c r="X127" s="576"/>
      <c r="Y127" s="400">
        <f ca="1">$BE127</f>
        <v>0</v>
      </c>
      <c r="Z127" s="401"/>
      <c r="AA127" s="402"/>
      <c r="AB127" s="402"/>
      <c r="AC127" s="402"/>
      <c r="AD127" s="402"/>
      <c r="AE127" s="402"/>
      <c r="AF127" s="402"/>
      <c r="AG127" s="402"/>
      <c r="AH127" s="402"/>
      <c r="AI127" s="402"/>
      <c r="AJ127" s="402"/>
      <c r="AK127" s="402"/>
      <c r="AL127" s="402"/>
      <c r="AM127" s="403"/>
      <c r="AN127" s="130" t="s">
        <v>125</v>
      </c>
      <c r="AO127" s="130" t="str">
        <f t="shared" si="2"/>
        <v>Kommersant.ru</v>
      </c>
      <c r="AP127" s="119">
        <f t="shared" si="409"/>
        <v>9</v>
      </c>
      <c r="AQ127" s="120"/>
      <c r="AR127" s="120"/>
      <c r="AS127" s="121"/>
      <c r="AT127" s="228"/>
      <c r="AU127" s="232"/>
      <c r="AV127" s="179"/>
      <c r="AW127" s="233"/>
      <c r="AX127" s="279">
        <f>IF(ISERROR(INDEX(indBudX,MATCH($AN127,indPrefixX,0))),0,INDEX(indBudX,MATCH($AN127,indPrefixX,0)))</f>
        <v>0</v>
      </c>
      <c r="AY127" s="279">
        <f>IF(ISNUMBER($X127),$X127,0)</f>
        <v>0</v>
      </c>
      <c r="AZ127" s="123"/>
      <c r="BA127" s="125"/>
      <c r="BB127" s="123"/>
      <c r="BC127" s="124"/>
      <c r="BD127" s="464"/>
      <c r="BE127" s="282">
        <f t="shared" ca="1" si="4"/>
        <v>0</v>
      </c>
      <c r="BF127" s="123">
        <f t="shared" ref="BF127:BI127" ca="1" si="798">SUM(OFFSET(BF127,1,0,$AP127-1,1))</f>
        <v>0</v>
      </c>
      <c r="BG127" s="123">
        <f t="shared" ca="1" si="798"/>
        <v>0</v>
      </c>
      <c r="BH127" s="123">
        <f t="shared" ca="1" si="798"/>
        <v>0</v>
      </c>
      <c r="BI127" s="273">
        <f t="shared" ca="1" si="798"/>
        <v>0</v>
      </c>
      <c r="BJ127" s="274"/>
      <c r="BK127" s="126"/>
      <c r="BL127" s="127"/>
      <c r="BM127" s="127"/>
      <c r="BN127" s="127"/>
      <c r="BO127" s="127"/>
      <c r="BP127" s="127"/>
      <c r="BQ127" s="127"/>
      <c r="BR127" s="127"/>
      <c r="BS127" s="127"/>
      <c r="BT127" s="127"/>
      <c r="BU127" s="127"/>
      <c r="BV127" s="277"/>
      <c r="BW127" s="279">
        <f t="shared" si="6"/>
        <v>1</v>
      </c>
      <c r="BX127" s="128"/>
      <c r="BY127" s="260"/>
      <c r="BZ127" s="261"/>
      <c r="CA127" s="261"/>
      <c r="CB127" s="261"/>
      <c r="CC127" s="261"/>
      <c r="CD127" s="261"/>
      <c r="CE127" s="261"/>
      <c r="CF127" s="261"/>
      <c r="CG127" s="261"/>
      <c r="CH127" s="261"/>
      <c r="CI127" s="261"/>
      <c r="CJ127" s="262"/>
      <c r="CK127" s="270"/>
      <c r="CL127" s="234"/>
    </row>
    <row r="128" spans="1:90" ht="12.75" hidden="1" outlineLevel="1" x14ac:dyDescent="0.2">
      <c r="B128" s="404" t="str">
        <f t="shared" ref="B128:B135" ca="1" si="799">INDEX(INDIRECT(LOWER($AN128)&amp;"Price"),$BW128,2)</f>
        <v>Пакет "Бизнес", 240х400, F ~ 3-5</v>
      </c>
      <c r="C128" s="676" t="str">
        <f t="shared" ref="C128:C135" ca="1" si="800">$BD128</f>
        <v>Пакет</v>
      </c>
      <c r="D128" s="405">
        <f t="shared" ref="D128:D135" ca="1" si="801">$AU128</f>
        <v>950</v>
      </c>
      <c r="E128" s="405">
        <f t="shared" ref="E128:E135" ca="1" si="802">$AV128</f>
        <v>950</v>
      </c>
      <c r="F128" s="405">
        <f t="shared" ref="F128:F135" ca="1" si="803">$AW128</f>
        <v>950</v>
      </c>
      <c r="G128" s="406">
        <f t="shared" ref="G128:G135" ca="1" si="804">$AZ128</f>
        <v>427500</v>
      </c>
      <c r="H128" s="406">
        <f t="shared" ref="H128:H135" ca="1" si="805">$BA128</f>
        <v>427500</v>
      </c>
      <c r="I128" s="406">
        <f t="shared" ref="I128:I136" ca="1" si="806">$BG128</f>
        <v>0</v>
      </c>
      <c r="J128" s="407">
        <f t="shared" ref="J128:J135" ca="1" si="807">$BH128</f>
        <v>0</v>
      </c>
      <c r="K128" s="617"/>
      <c r="L128" s="618"/>
      <c r="M128" s="618"/>
      <c r="N128" s="618"/>
      <c r="O128" s="618"/>
      <c r="P128" s="618"/>
      <c r="Q128" s="618"/>
      <c r="R128" s="618"/>
      <c r="S128" s="618"/>
      <c r="T128" s="618"/>
      <c r="U128" s="618"/>
      <c r="V128" s="619"/>
      <c r="W128" s="406">
        <f t="shared" ca="1" si="1"/>
        <v>0</v>
      </c>
      <c r="X128" s="406"/>
      <c r="Y128" s="411"/>
      <c r="Z128" s="412">
        <f t="shared" ref="Z128:Z135" si="808">CK128</f>
        <v>0</v>
      </c>
      <c r="AA128" s="620"/>
      <c r="AB128" s="620"/>
      <c r="AC128" s="620"/>
      <c r="AD128" s="620"/>
      <c r="AE128" s="620"/>
      <c r="AF128" s="620"/>
      <c r="AG128" s="620"/>
      <c r="AH128" s="620"/>
      <c r="AI128" s="620"/>
      <c r="AJ128" s="620"/>
      <c r="AK128" s="620"/>
      <c r="AL128" s="620"/>
      <c r="AM128" s="621"/>
      <c r="AN128" s="351" t="s">
        <v>125</v>
      </c>
      <c r="AO128" s="351" t="str">
        <f t="shared" si="2"/>
        <v>Kommersant.ru</v>
      </c>
      <c r="AP128" s="115">
        <f t="shared" si="409"/>
        <v>9</v>
      </c>
      <c r="AQ128" s="31" t="str">
        <f t="shared" ref="AQ128:AR135" ca="1" si="809">HLOOKUP(AQ$10,INDIRECT(LOWER($AN128)&amp;"Price"),$BW128,FALSE)</f>
        <v>-</v>
      </c>
      <c r="AR128" s="31" t="str">
        <f t="shared" ca="1" si="809"/>
        <v>Вкл</v>
      </c>
      <c r="AS128" s="35">
        <v>0</v>
      </c>
      <c r="AT128" s="229">
        <v>0</v>
      </c>
      <c r="AU128" s="344">
        <f t="shared" ref="AU128:AU135" ca="1" si="810">HLOOKUP(AU$10,INDIRECT(LOWER($AN128)&amp;"Price"),$BW128,FALSE)</f>
        <v>950</v>
      </c>
      <c r="AV128" s="345">
        <f t="shared" ref="AV128:AV135" ca="1" si="811">IF(ISERROR($BG128/$BI128),$AU128,$BG128/$BI128)</f>
        <v>950</v>
      </c>
      <c r="AW128" s="346">
        <f t="shared" ref="AW128:AW135" ca="1" si="812">$AV128*(1-$BE128)</f>
        <v>950</v>
      </c>
      <c r="AX128" s="280"/>
      <c r="AY128" s="280"/>
      <c r="AZ128" s="347">
        <f t="shared" ref="AZ128:AZ135" ca="1" si="813">HLOOKUP(AZ$10,INDIRECT(LOWER($AN128)&amp;"Price"),$BW128,FALSE)</f>
        <v>427500</v>
      </c>
      <c r="BA128" s="348">
        <f t="shared" ref="BA128:BA135" ca="1" si="814">$AZ128*(1-$BE128)</f>
        <v>427500</v>
      </c>
      <c r="BB128" s="347">
        <f t="shared" ref="BB128:BC135" ca="1" si="815">HLOOKUP(BB$10,INDIRECT(LOWER($AN128)&amp;"Price"),$BW128,FALSE)</f>
        <v>450</v>
      </c>
      <c r="BC128" s="37" t="str">
        <f t="shared" ca="1" si="815"/>
        <v>Пакет</v>
      </c>
      <c r="BD128" s="229" t="str">
        <f t="shared" ref="BD128:BD135" ca="1" si="816">IF(ISERROR(VLOOKUP($BC128,typeIndexPair,2,FALSE)),"",VLOOKUP($BC128,typeIndexPair,2,FALSE))</f>
        <v>Пакет</v>
      </c>
      <c r="BE128" s="283">
        <f t="shared" ca="1" si="4"/>
        <v>0</v>
      </c>
      <c r="BF128" s="347">
        <f t="array" aca="1" ref="BF128" ca="1">SUM($K128:$V128*$BK128:$BV128)*$AZ128</f>
        <v>0</v>
      </c>
      <c r="BG128" s="347">
        <f t="array" aca="1" ref="BG128" ca="1">SUM($K128:$V128*$BY128:$CJ128*$BK128:$BV128)*$AZ128*$BX128</f>
        <v>0</v>
      </c>
      <c r="BH128" s="347">
        <f t="array" aca="1" ref="BH128" ca="1">SUM($K128:$V128*$BY128:$CJ128*$BK128:$BV128)*(1-$BE128)*$AZ128*$BX128</f>
        <v>0</v>
      </c>
      <c r="BI128" s="350">
        <f t="shared" ref="BI128:BI135" ca="1" si="817">SUM($K128:$V128)*$BB128</f>
        <v>0</v>
      </c>
      <c r="BJ128" s="275" t="str">
        <f t="shared" ref="BJ128:BJ135" ca="1" si="818">IF(ISERROR(HLOOKUP(BJ$10,INDIRECT(LOWER($AN128)&amp;"Price"),$BW128,FALSE)),"Да",HLOOKUP(BJ$10,INDIRECT(LOWER($AN128)&amp;"Price"),$BW128,FALSE))</f>
        <v>Да</v>
      </c>
      <c r="BK128" s="116">
        <f t="shared" ref="BK128:BV135" ca="1" si="819">IF($BJ128="Особ.",INDEX(INDIRECT(LOWER($AN128)&amp;"Season2"),BK$9),IF($BJ128="Да",INDEX(INDIRECT(LOWER($AN128)&amp;"Season"),BK$9),100%))</f>
        <v>0.8</v>
      </c>
      <c r="BL128" s="117">
        <f t="shared" ca="1" si="819"/>
        <v>0.9</v>
      </c>
      <c r="BM128" s="117">
        <f t="shared" ca="1" si="819"/>
        <v>1</v>
      </c>
      <c r="BN128" s="117">
        <f t="shared" ca="1" si="819"/>
        <v>1</v>
      </c>
      <c r="BO128" s="117">
        <f t="shared" ca="1" si="819"/>
        <v>1</v>
      </c>
      <c r="BP128" s="117">
        <f t="shared" ca="1" si="819"/>
        <v>1</v>
      </c>
      <c r="BQ128" s="117">
        <f t="shared" ca="1" si="819"/>
        <v>0.9</v>
      </c>
      <c r="BR128" s="117">
        <f t="shared" ca="1" si="819"/>
        <v>0.9</v>
      </c>
      <c r="BS128" s="117">
        <f t="shared" ca="1" si="819"/>
        <v>1.3</v>
      </c>
      <c r="BT128" s="117">
        <f t="shared" ca="1" si="819"/>
        <v>1.3</v>
      </c>
      <c r="BU128" s="117">
        <f t="shared" ca="1" si="819"/>
        <v>1.3</v>
      </c>
      <c r="BV128" s="278">
        <f t="shared" ca="1" si="819"/>
        <v>1.3</v>
      </c>
      <c r="BW128" s="280">
        <f t="shared" si="6"/>
        <v>2</v>
      </c>
      <c r="BX128" s="118">
        <f>IF($AN128="Ya",100%,100%+extraDelayZ)</f>
        <v>1</v>
      </c>
      <c r="BY128" s="263">
        <f t="shared" ref="BY128:BY135" si="820">(1+AA128)</f>
        <v>1</v>
      </c>
      <c r="BZ128" s="264">
        <f t="shared" ref="BZ128:BZ135" si="821">(1+AB128)</f>
        <v>1</v>
      </c>
      <c r="CA128" s="264">
        <f t="shared" ref="CA128:CA135" si="822">(1+AC128)</f>
        <v>1</v>
      </c>
      <c r="CB128" s="264">
        <f t="shared" ref="CB128:CB135" si="823">(1+AD128)</f>
        <v>1</v>
      </c>
      <c r="CC128" s="264">
        <f t="shared" ref="CC128:CC135" si="824">(1+AE128)</f>
        <v>1</v>
      </c>
      <c r="CD128" s="264">
        <f t="shared" ref="CD128:CD135" si="825">(1+AF128)</f>
        <v>1</v>
      </c>
      <c r="CE128" s="264">
        <f t="shared" ref="CE128:CE135" si="826">(1+AG128)</f>
        <v>1</v>
      </c>
      <c r="CF128" s="264">
        <f t="shared" ref="CF128:CF135" si="827">(1+AH128)</f>
        <v>1</v>
      </c>
      <c r="CG128" s="264">
        <f t="shared" ref="CG128:CG135" si="828">(1+AI128)</f>
        <v>1</v>
      </c>
      <c r="CH128" s="264">
        <f t="shared" ref="CH128:CH135" si="829">(1+AJ128)</f>
        <v>1</v>
      </c>
      <c r="CI128" s="264">
        <f t="shared" ref="CI128:CI135" si="830">(1+AK128)</f>
        <v>1</v>
      </c>
      <c r="CJ128" s="265">
        <f t="shared" ref="CJ128:CJ135" si="831">(1+AL128)</f>
        <v>1</v>
      </c>
      <c r="CK128" s="269">
        <f t="array" ref="CK128">IF(ISERROR(SUM($K128:$V128*$BY128:$CJ128)/SUM($K128:$V128)),1,SUM($K128:$V128*$BY128:$CJ128)/SUM($K128:$V128))-1</f>
        <v>0</v>
      </c>
      <c r="CL128" s="234"/>
    </row>
    <row r="129" spans="1:90" ht="12.75" hidden="1" outlineLevel="1" x14ac:dyDescent="0.2">
      <c r="B129" s="404" t="str">
        <f t="shared" ca="1" si="799"/>
        <v>Пакет "Премиум", 240х400, F ~ 3-5</v>
      </c>
      <c r="C129" s="676" t="str">
        <f t="shared" ca="1" si="800"/>
        <v>Пакет</v>
      </c>
      <c r="D129" s="405">
        <f t="shared" ca="1" si="801"/>
        <v>850</v>
      </c>
      <c r="E129" s="405">
        <f t="shared" ca="1" si="802"/>
        <v>850</v>
      </c>
      <c r="F129" s="405">
        <f t="shared" ca="1" si="803"/>
        <v>850</v>
      </c>
      <c r="G129" s="406">
        <f t="shared" ca="1" si="804"/>
        <v>382500</v>
      </c>
      <c r="H129" s="406">
        <f t="shared" ca="1" si="805"/>
        <v>382500</v>
      </c>
      <c r="I129" s="406">
        <f t="shared" ca="1" si="806"/>
        <v>0</v>
      </c>
      <c r="J129" s="407">
        <f t="shared" ca="1" si="807"/>
        <v>0</v>
      </c>
      <c r="K129" s="617"/>
      <c r="L129" s="618"/>
      <c r="M129" s="618"/>
      <c r="N129" s="618"/>
      <c r="O129" s="618"/>
      <c r="P129" s="618"/>
      <c r="Q129" s="618"/>
      <c r="R129" s="618"/>
      <c r="S129" s="618"/>
      <c r="T129" s="618"/>
      <c r="U129" s="618"/>
      <c r="V129" s="619"/>
      <c r="W129" s="406">
        <f t="shared" ca="1" si="1"/>
        <v>0</v>
      </c>
      <c r="X129" s="406"/>
      <c r="Y129" s="411"/>
      <c r="Z129" s="412">
        <f t="shared" si="808"/>
        <v>0</v>
      </c>
      <c r="AA129" s="620"/>
      <c r="AB129" s="620"/>
      <c r="AC129" s="620"/>
      <c r="AD129" s="620"/>
      <c r="AE129" s="620"/>
      <c r="AF129" s="620"/>
      <c r="AG129" s="620"/>
      <c r="AH129" s="620"/>
      <c r="AI129" s="620"/>
      <c r="AJ129" s="620"/>
      <c r="AK129" s="620"/>
      <c r="AL129" s="620"/>
      <c r="AM129" s="621"/>
      <c r="AN129" s="351" t="s">
        <v>125</v>
      </c>
      <c r="AO129" s="351" t="str">
        <f t="shared" si="2"/>
        <v>Kommersant.ru</v>
      </c>
      <c r="AP129" s="115">
        <f t="shared" si="409"/>
        <v>9</v>
      </c>
      <c r="AQ129" s="31" t="str">
        <f t="shared" ca="1" si="809"/>
        <v>-</v>
      </c>
      <c r="AR129" s="31" t="str">
        <f t="shared" ca="1" si="809"/>
        <v>Вкл</v>
      </c>
      <c r="AS129" s="35">
        <v>0</v>
      </c>
      <c r="AT129" s="229">
        <v>0</v>
      </c>
      <c r="AU129" s="344">
        <f t="shared" ca="1" si="810"/>
        <v>850</v>
      </c>
      <c r="AV129" s="345">
        <f t="shared" ca="1" si="811"/>
        <v>850</v>
      </c>
      <c r="AW129" s="346">
        <f t="shared" ca="1" si="812"/>
        <v>850</v>
      </c>
      <c r="AX129" s="280"/>
      <c r="AY129" s="280"/>
      <c r="AZ129" s="347">
        <f t="shared" ca="1" si="813"/>
        <v>382500</v>
      </c>
      <c r="BA129" s="348">
        <f t="shared" ca="1" si="814"/>
        <v>382500</v>
      </c>
      <c r="BB129" s="347">
        <f t="shared" ca="1" si="815"/>
        <v>450</v>
      </c>
      <c r="BC129" s="37" t="str">
        <f t="shared" ca="1" si="815"/>
        <v>Пакет</v>
      </c>
      <c r="BD129" s="229" t="str">
        <f t="shared" ca="1" si="816"/>
        <v>Пакет</v>
      </c>
      <c r="BE129" s="283">
        <f t="shared" ca="1" si="4"/>
        <v>0</v>
      </c>
      <c r="BF129" s="347">
        <f t="array" aca="1" ref="BF129" ca="1">SUM($K129:$V129*$BK129:$BV129)*$AZ129</f>
        <v>0</v>
      </c>
      <c r="BG129" s="347">
        <f t="array" aca="1" ref="BG129" ca="1">SUM($K129:$V129*$BY129:$CJ129*$BK129:$BV129)*$AZ129*$BX129</f>
        <v>0</v>
      </c>
      <c r="BH129" s="347">
        <f t="array" aca="1" ref="BH129" ca="1">SUM($K129:$V129*$BY129:$CJ129*$BK129:$BV129)*(1-$BE129)*$AZ129*$BX129</f>
        <v>0</v>
      </c>
      <c r="BI129" s="350">
        <f t="shared" ca="1" si="817"/>
        <v>0</v>
      </c>
      <c r="BJ129" s="275" t="str">
        <f t="shared" ca="1" si="818"/>
        <v>Да</v>
      </c>
      <c r="BK129" s="116">
        <f t="shared" ca="1" si="819"/>
        <v>0.8</v>
      </c>
      <c r="BL129" s="117">
        <f t="shared" ca="1" si="819"/>
        <v>0.9</v>
      </c>
      <c r="BM129" s="117">
        <f t="shared" ca="1" si="819"/>
        <v>1</v>
      </c>
      <c r="BN129" s="117">
        <f t="shared" ca="1" si="819"/>
        <v>1</v>
      </c>
      <c r="BO129" s="117">
        <f t="shared" ca="1" si="819"/>
        <v>1</v>
      </c>
      <c r="BP129" s="117">
        <f t="shared" ca="1" si="819"/>
        <v>1</v>
      </c>
      <c r="BQ129" s="117">
        <f t="shared" ca="1" si="819"/>
        <v>0.9</v>
      </c>
      <c r="BR129" s="117">
        <f t="shared" ca="1" si="819"/>
        <v>0.9</v>
      </c>
      <c r="BS129" s="117">
        <f t="shared" ca="1" si="819"/>
        <v>1.3</v>
      </c>
      <c r="BT129" s="117">
        <f t="shared" ca="1" si="819"/>
        <v>1.3</v>
      </c>
      <c r="BU129" s="117">
        <f t="shared" ca="1" si="819"/>
        <v>1.3</v>
      </c>
      <c r="BV129" s="278">
        <f t="shared" ca="1" si="819"/>
        <v>1.3</v>
      </c>
      <c r="BW129" s="280">
        <f t="shared" si="6"/>
        <v>3</v>
      </c>
      <c r="BX129" s="118">
        <f>IF($AN129="Ya",100%,100%+extraDelayZ)</f>
        <v>1</v>
      </c>
      <c r="BY129" s="263">
        <f t="shared" si="820"/>
        <v>1</v>
      </c>
      <c r="BZ129" s="264">
        <f t="shared" si="821"/>
        <v>1</v>
      </c>
      <c r="CA129" s="264">
        <f t="shared" si="822"/>
        <v>1</v>
      </c>
      <c r="CB129" s="264">
        <f t="shared" si="823"/>
        <v>1</v>
      </c>
      <c r="CC129" s="264">
        <f t="shared" si="824"/>
        <v>1</v>
      </c>
      <c r="CD129" s="264">
        <f t="shared" si="825"/>
        <v>1</v>
      </c>
      <c r="CE129" s="264">
        <f t="shared" si="826"/>
        <v>1</v>
      </c>
      <c r="CF129" s="264">
        <f t="shared" si="827"/>
        <v>1</v>
      </c>
      <c r="CG129" s="264">
        <f t="shared" si="828"/>
        <v>1</v>
      </c>
      <c r="CH129" s="264">
        <f t="shared" si="829"/>
        <v>1</v>
      </c>
      <c r="CI129" s="264">
        <f t="shared" si="830"/>
        <v>1</v>
      </c>
      <c r="CJ129" s="265">
        <f t="shared" si="831"/>
        <v>1</v>
      </c>
      <c r="CK129" s="269">
        <f t="array" ref="CK129">IF(ISERROR(SUM($K129:$V129*$BY129:$CJ129)/SUM($K129:$V129)),1,SUM($K129:$V129*$BY129:$CJ129)/SUM($K129:$V129))-1</f>
        <v>0</v>
      </c>
      <c r="CL129" s="234"/>
    </row>
    <row r="130" spans="1:90" ht="12.75" hidden="1" outlineLevel="1" x14ac:dyDescent="0.2">
      <c r="B130" s="404" t="str">
        <f t="shared" ca="1" si="799"/>
        <v>Пакет "Лайфстайл", 240х400, F ~ 3-5</v>
      </c>
      <c r="C130" s="676" t="str">
        <f t="shared" ca="1" si="800"/>
        <v>Пакет</v>
      </c>
      <c r="D130" s="405">
        <f t="shared" ca="1" si="801"/>
        <v>750</v>
      </c>
      <c r="E130" s="405">
        <f t="shared" ca="1" si="802"/>
        <v>750</v>
      </c>
      <c r="F130" s="405">
        <f t="shared" ca="1" si="803"/>
        <v>750</v>
      </c>
      <c r="G130" s="406">
        <f t="shared" ca="1" si="804"/>
        <v>150000</v>
      </c>
      <c r="H130" s="406">
        <f t="shared" ca="1" si="805"/>
        <v>150000</v>
      </c>
      <c r="I130" s="406">
        <f t="shared" ca="1" si="806"/>
        <v>0</v>
      </c>
      <c r="J130" s="407">
        <f t="shared" ca="1" si="807"/>
        <v>0</v>
      </c>
      <c r="K130" s="617"/>
      <c r="L130" s="618"/>
      <c r="M130" s="618"/>
      <c r="N130" s="618"/>
      <c r="O130" s="618"/>
      <c r="P130" s="618"/>
      <c r="Q130" s="618"/>
      <c r="R130" s="618"/>
      <c r="S130" s="618"/>
      <c r="T130" s="618"/>
      <c r="U130" s="618"/>
      <c r="V130" s="619"/>
      <c r="W130" s="406">
        <f t="shared" ca="1" si="1"/>
        <v>0</v>
      </c>
      <c r="X130" s="406"/>
      <c r="Y130" s="411"/>
      <c r="Z130" s="412">
        <f t="shared" si="808"/>
        <v>0</v>
      </c>
      <c r="AA130" s="620"/>
      <c r="AB130" s="620"/>
      <c r="AC130" s="620"/>
      <c r="AD130" s="620"/>
      <c r="AE130" s="620"/>
      <c r="AF130" s="620"/>
      <c r="AG130" s="620"/>
      <c r="AH130" s="620"/>
      <c r="AI130" s="620"/>
      <c r="AJ130" s="620"/>
      <c r="AK130" s="620"/>
      <c r="AL130" s="620"/>
      <c r="AM130" s="621"/>
      <c r="AN130" s="351" t="s">
        <v>125</v>
      </c>
      <c r="AO130" s="351" t="str">
        <f t="shared" si="2"/>
        <v>Kommersant.ru</v>
      </c>
      <c r="AP130" s="115">
        <f t="shared" si="409"/>
        <v>9</v>
      </c>
      <c r="AQ130" s="31" t="str">
        <f t="shared" ca="1" si="809"/>
        <v>-</v>
      </c>
      <c r="AR130" s="31" t="str">
        <f t="shared" ca="1" si="809"/>
        <v>Вкл</v>
      </c>
      <c r="AS130" s="35">
        <v>0</v>
      </c>
      <c r="AT130" s="229">
        <v>0</v>
      </c>
      <c r="AU130" s="344">
        <f t="shared" ca="1" si="810"/>
        <v>750</v>
      </c>
      <c r="AV130" s="345">
        <f t="shared" ca="1" si="811"/>
        <v>750</v>
      </c>
      <c r="AW130" s="346">
        <f t="shared" ca="1" si="812"/>
        <v>750</v>
      </c>
      <c r="AX130" s="280"/>
      <c r="AY130" s="280"/>
      <c r="AZ130" s="347">
        <f t="shared" ca="1" si="813"/>
        <v>150000</v>
      </c>
      <c r="BA130" s="348">
        <f t="shared" ca="1" si="814"/>
        <v>150000</v>
      </c>
      <c r="BB130" s="347">
        <f t="shared" ca="1" si="815"/>
        <v>200</v>
      </c>
      <c r="BC130" s="37" t="str">
        <f t="shared" ca="1" si="815"/>
        <v>Пакет</v>
      </c>
      <c r="BD130" s="229" t="str">
        <f t="shared" ca="1" si="816"/>
        <v>Пакет</v>
      </c>
      <c r="BE130" s="283">
        <f t="shared" ca="1" si="4"/>
        <v>0</v>
      </c>
      <c r="BF130" s="347">
        <f t="array" aca="1" ref="BF130" ca="1">SUM($K130:$V130*$BK130:$BV130)*$AZ130</f>
        <v>0</v>
      </c>
      <c r="BG130" s="347">
        <f t="array" aca="1" ref="BG130" ca="1">SUM($K130:$V130*$BY130:$CJ130*$BK130:$BV130)*$AZ130*$BX130</f>
        <v>0</v>
      </c>
      <c r="BH130" s="347">
        <f t="array" aca="1" ref="BH130" ca="1">SUM($K130:$V130*$BY130:$CJ130*$BK130:$BV130)*(1-$BE130)*$AZ130*$BX130</f>
        <v>0</v>
      </c>
      <c r="BI130" s="350">
        <f t="shared" ca="1" si="817"/>
        <v>0</v>
      </c>
      <c r="BJ130" s="275" t="str">
        <f t="shared" ca="1" si="818"/>
        <v>Да</v>
      </c>
      <c r="BK130" s="116">
        <f t="shared" ca="1" si="819"/>
        <v>0.8</v>
      </c>
      <c r="BL130" s="117">
        <f t="shared" ca="1" si="819"/>
        <v>0.9</v>
      </c>
      <c r="BM130" s="117">
        <f t="shared" ca="1" si="819"/>
        <v>1</v>
      </c>
      <c r="BN130" s="117">
        <f t="shared" ca="1" si="819"/>
        <v>1</v>
      </c>
      <c r="BO130" s="117">
        <f t="shared" ca="1" si="819"/>
        <v>1</v>
      </c>
      <c r="BP130" s="117">
        <f t="shared" ca="1" si="819"/>
        <v>1</v>
      </c>
      <c r="BQ130" s="117">
        <f t="shared" ca="1" si="819"/>
        <v>0.9</v>
      </c>
      <c r="BR130" s="117">
        <f t="shared" ca="1" si="819"/>
        <v>0.9</v>
      </c>
      <c r="BS130" s="117">
        <f t="shared" ca="1" si="819"/>
        <v>1.3</v>
      </c>
      <c r="BT130" s="117">
        <f t="shared" ca="1" si="819"/>
        <v>1.3</v>
      </c>
      <c r="BU130" s="117">
        <f t="shared" ca="1" si="819"/>
        <v>1.3</v>
      </c>
      <c r="BV130" s="278">
        <f t="shared" ca="1" si="819"/>
        <v>1.3</v>
      </c>
      <c r="BW130" s="280">
        <f t="shared" si="6"/>
        <v>4</v>
      </c>
      <c r="BX130" s="118">
        <f>IF($AN130="Ya",100%,100%+extraDelayZ)</f>
        <v>1</v>
      </c>
      <c r="BY130" s="263">
        <f t="shared" si="820"/>
        <v>1</v>
      </c>
      <c r="BZ130" s="264">
        <f t="shared" si="821"/>
        <v>1</v>
      </c>
      <c r="CA130" s="264">
        <f t="shared" si="822"/>
        <v>1</v>
      </c>
      <c r="CB130" s="264">
        <f t="shared" si="823"/>
        <v>1</v>
      </c>
      <c r="CC130" s="264">
        <f t="shared" si="824"/>
        <v>1</v>
      </c>
      <c r="CD130" s="264">
        <f t="shared" si="825"/>
        <v>1</v>
      </c>
      <c r="CE130" s="264">
        <f t="shared" si="826"/>
        <v>1</v>
      </c>
      <c r="CF130" s="264">
        <f t="shared" si="827"/>
        <v>1</v>
      </c>
      <c r="CG130" s="264">
        <f t="shared" si="828"/>
        <v>1</v>
      </c>
      <c r="CH130" s="264">
        <f t="shared" si="829"/>
        <v>1</v>
      </c>
      <c r="CI130" s="264">
        <f t="shared" si="830"/>
        <v>1</v>
      </c>
      <c r="CJ130" s="265">
        <f t="shared" si="831"/>
        <v>1</v>
      </c>
      <c r="CK130" s="269">
        <f t="array" ref="CK130">IF(ISERROR(SUM($K130:$V130*$BY130:$CJ130)/SUM($K130:$V130)),1,SUM($K130:$V130*$BY130:$CJ130)/SUM($K130:$V130))-1</f>
        <v>0</v>
      </c>
      <c r="CL130" s="234"/>
    </row>
    <row r="131" spans="1:90" ht="12.75" hidden="1" outlineLevel="1" x14ac:dyDescent="0.2">
      <c r="B131" s="404" t="str">
        <f t="shared" ca="1" si="799"/>
        <v>Пакет "Охват", 240х400, F ~ 3-5</v>
      </c>
      <c r="C131" s="676" t="str">
        <f t="shared" ca="1" si="800"/>
        <v>Пакет</v>
      </c>
      <c r="D131" s="405">
        <f t="shared" ca="1" si="801"/>
        <v>720</v>
      </c>
      <c r="E131" s="405">
        <f t="shared" ca="1" si="802"/>
        <v>720</v>
      </c>
      <c r="F131" s="405">
        <f t="shared" ca="1" si="803"/>
        <v>720</v>
      </c>
      <c r="G131" s="406">
        <f t="shared" ca="1" si="804"/>
        <v>504000</v>
      </c>
      <c r="H131" s="406">
        <f t="shared" ca="1" si="805"/>
        <v>504000</v>
      </c>
      <c r="I131" s="406">
        <f t="shared" ca="1" si="806"/>
        <v>0</v>
      </c>
      <c r="J131" s="407">
        <f t="shared" ca="1" si="807"/>
        <v>0</v>
      </c>
      <c r="K131" s="617"/>
      <c r="L131" s="618"/>
      <c r="M131" s="618"/>
      <c r="N131" s="618"/>
      <c r="O131" s="618"/>
      <c r="P131" s="618"/>
      <c r="Q131" s="618"/>
      <c r="R131" s="618"/>
      <c r="S131" s="618"/>
      <c r="T131" s="618"/>
      <c r="U131" s="618"/>
      <c r="V131" s="619"/>
      <c r="W131" s="406">
        <f t="shared" ref="W131:W182" ca="1" si="832">$BI131</f>
        <v>0</v>
      </c>
      <c r="X131" s="406"/>
      <c r="Y131" s="411"/>
      <c r="Z131" s="412">
        <f t="shared" si="808"/>
        <v>0</v>
      </c>
      <c r="AA131" s="620"/>
      <c r="AB131" s="620"/>
      <c r="AC131" s="620"/>
      <c r="AD131" s="620"/>
      <c r="AE131" s="620"/>
      <c r="AF131" s="620"/>
      <c r="AG131" s="620"/>
      <c r="AH131" s="620"/>
      <c r="AI131" s="620"/>
      <c r="AJ131" s="620"/>
      <c r="AK131" s="620"/>
      <c r="AL131" s="620"/>
      <c r="AM131" s="621"/>
      <c r="AN131" s="351" t="s">
        <v>125</v>
      </c>
      <c r="AO131" s="351" t="str">
        <f t="shared" si="2"/>
        <v>Kommersant.ru</v>
      </c>
      <c r="AP131" s="115">
        <f t="shared" si="409"/>
        <v>9</v>
      </c>
      <c r="AQ131" s="31" t="str">
        <f t="shared" ca="1" si="809"/>
        <v>-</v>
      </c>
      <c r="AR131" s="31" t="str">
        <f t="shared" ca="1" si="809"/>
        <v>Вкл</v>
      </c>
      <c r="AS131" s="35">
        <v>0</v>
      </c>
      <c r="AT131" s="229">
        <v>0</v>
      </c>
      <c r="AU131" s="344">
        <f t="shared" ca="1" si="810"/>
        <v>720</v>
      </c>
      <c r="AV131" s="345">
        <f t="shared" ca="1" si="811"/>
        <v>720</v>
      </c>
      <c r="AW131" s="346">
        <f t="shared" ca="1" si="812"/>
        <v>720</v>
      </c>
      <c r="AX131" s="280"/>
      <c r="AY131" s="280"/>
      <c r="AZ131" s="347">
        <f t="shared" ca="1" si="813"/>
        <v>504000</v>
      </c>
      <c r="BA131" s="348">
        <f t="shared" ca="1" si="814"/>
        <v>504000</v>
      </c>
      <c r="BB131" s="347">
        <f t="shared" ca="1" si="815"/>
        <v>700</v>
      </c>
      <c r="BC131" s="37" t="str">
        <f t="shared" ca="1" si="815"/>
        <v>Пакет</v>
      </c>
      <c r="BD131" s="229" t="str">
        <f t="shared" ca="1" si="816"/>
        <v>Пакет</v>
      </c>
      <c r="BE131" s="283">
        <f t="shared" ca="1" si="4"/>
        <v>0</v>
      </c>
      <c r="BF131" s="347">
        <f t="array" aca="1" ref="BF131" ca="1">SUM($K131:$V131*$BK131:$BV131)*$AZ131</f>
        <v>0</v>
      </c>
      <c r="BG131" s="347">
        <f t="array" aca="1" ref="BG131" ca="1">SUM($K131:$V131*$BY131:$CJ131*$BK131:$BV131)*$AZ131*$BX131</f>
        <v>0</v>
      </c>
      <c r="BH131" s="347">
        <f t="array" aca="1" ref="BH131" ca="1">SUM($K131:$V131*$BY131:$CJ131*$BK131:$BV131)*(1-$BE131)*$AZ131*$BX131</f>
        <v>0</v>
      </c>
      <c r="BI131" s="350">
        <f t="shared" ca="1" si="817"/>
        <v>0</v>
      </c>
      <c r="BJ131" s="275" t="str">
        <f t="shared" ca="1" si="818"/>
        <v>Да</v>
      </c>
      <c r="BK131" s="116">
        <f t="shared" ca="1" si="819"/>
        <v>0.8</v>
      </c>
      <c r="BL131" s="117">
        <f t="shared" ca="1" si="819"/>
        <v>0.9</v>
      </c>
      <c r="BM131" s="117">
        <f t="shared" ca="1" si="819"/>
        <v>1</v>
      </c>
      <c r="BN131" s="117">
        <f t="shared" ca="1" si="819"/>
        <v>1</v>
      </c>
      <c r="BO131" s="117">
        <f t="shared" ca="1" si="819"/>
        <v>1</v>
      </c>
      <c r="BP131" s="117">
        <f t="shared" ca="1" si="819"/>
        <v>1</v>
      </c>
      <c r="BQ131" s="117">
        <f t="shared" ca="1" si="819"/>
        <v>0.9</v>
      </c>
      <c r="BR131" s="117">
        <f t="shared" ca="1" si="819"/>
        <v>0.9</v>
      </c>
      <c r="BS131" s="117">
        <f t="shared" ca="1" si="819"/>
        <v>1.3</v>
      </c>
      <c r="BT131" s="117">
        <f t="shared" ca="1" si="819"/>
        <v>1.3</v>
      </c>
      <c r="BU131" s="117">
        <f t="shared" ca="1" si="819"/>
        <v>1.3</v>
      </c>
      <c r="BV131" s="278">
        <f t="shared" ca="1" si="819"/>
        <v>1.3</v>
      </c>
      <c r="BW131" s="280">
        <f t="shared" si="6"/>
        <v>5</v>
      </c>
      <c r="BX131" s="118">
        <f>IF($AN131="Ya",100%,100%+extraDelayZ)</f>
        <v>1</v>
      </c>
      <c r="BY131" s="263">
        <f t="shared" si="820"/>
        <v>1</v>
      </c>
      <c r="BZ131" s="264">
        <f t="shared" si="821"/>
        <v>1</v>
      </c>
      <c r="CA131" s="264">
        <f t="shared" si="822"/>
        <v>1</v>
      </c>
      <c r="CB131" s="264">
        <f t="shared" si="823"/>
        <v>1</v>
      </c>
      <c r="CC131" s="264">
        <f t="shared" si="824"/>
        <v>1</v>
      </c>
      <c r="CD131" s="264">
        <f t="shared" si="825"/>
        <v>1</v>
      </c>
      <c r="CE131" s="264">
        <f t="shared" si="826"/>
        <v>1</v>
      </c>
      <c r="CF131" s="264">
        <f t="shared" si="827"/>
        <v>1</v>
      </c>
      <c r="CG131" s="264">
        <f t="shared" si="828"/>
        <v>1</v>
      </c>
      <c r="CH131" s="264">
        <f t="shared" si="829"/>
        <v>1</v>
      </c>
      <c r="CI131" s="264">
        <f t="shared" si="830"/>
        <v>1</v>
      </c>
      <c r="CJ131" s="265">
        <f t="shared" si="831"/>
        <v>1</v>
      </c>
      <c r="CK131" s="269">
        <f t="array" ref="CK131">IF(ISERROR(SUM($K131:$V131*$BY131:$CJ131)/SUM($K131:$V131)),1,SUM($K131:$V131*$BY131:$CJ131)/SUM($K131:$V131))-1</f>
        <v>0</v>
      </c>
      <c r="CL131" s="234"/>
    </row>
    <row r="132" spans="1:90" ht="12.75" hidden="1" outlineLevel="1" x14ac:dyDescent="0.2">
      <c r="B132" s="404" t="str">
        <f t="shared" ca="1" si="799"/>
        <v>Текстово-графический блок, статика</v>
      </c>
      <c r="C132" s="676" t="str">
        <f t="shared" ca="1" si="800"/>
        <v>Нед</v>
      </c>
      <c r="D132" s="405">
        <f t="shared" ca="1" si="801"/>
        <v>100</v>
      </c>
      <c r="E132" s="405">
        <f t="shared" ca="1" si="802"/>
        <v>100</v>
      </c>
      <c r="F132" s="405">
        <f t="shared" ca="1" si="803"/>
        <v>100</v>
      </c>
      <c r="G132" s="406">
        <f t="shared" ca="1" si="804"/>
        <v>300000</v>
      </c>
      <c r="H132" s="406">
        <f t="shared" ca="1" si="805"/>
        <v>300000</v>
      </c>
      <c r="I132" s="406">
        <f t="shared" ca="1" si="806"/>
        <v>0</v>
      </c>
      <c r="J132" s="407">
        <f t="shared" ca="1" si="807"/>
        <v>0</v>
      </c>
      <c r="K132" s="617"/>
      <c r="L132" s="618"/>
      <c r="M132" s="618"/>
      <c r="N132" s="618"/>
      <c r="O132" s="618"/>
      <c r="P132" s="618"/>
      <c r="Q132" s="618"/>
      <c r="R132" s="618"/>
      <c r="S132" s="618"/>
      <c r="T132" s="618"/>
      <c r="U132" s="618"/>
      <c r="V132" s="619"/>
      <c r="W132" s="406">
        <f t="shared" ca="1" si="832"/>
        <v>0</v>
      </c>
      <c r="X132" s="406"/>
      <c r="Y132" s="411"/>
      <c r="Z132" s="412">
        <f t="shared" si="808"/>
        <v>0</v>
      </c>
      <c r="AA132" s="620"/>
      <c r="AB132" s="620"/>
      <c r="AC132" s="620"/>
      <c r="AD132" s="620"/>
      <c r="AE132" s="620"/>
      <c r="AF132" s="620"/>
      <c r="AG132" s="620"/>
      <c r="AH132" s="620"/>
      <c r="AI132" s="620"/>
      <c r="AJ132" s="620"/>
      <c r="AK132" s="620"/>
      <c r="AL132" s="620"/>
      <c r="AM132" s="621"/>
      <c r="AN132" s="351" t="s">
        <v>125</v>
      </c>
      <c r="AO132" s="351" t="str">
        <f t="shared" ref="AO132:AO185" si="833">INDEX(indSiteX,MATCH($AN132,indPrefixX,0))</f>
        <v>Kommersant.ru</v>
      </c>
      <c r="AP132" s="115">
        <f t="shared" si="409"/>
        <v>9</v>
      </c>
      <c r="AQ132" s="31" t="str">
        <f t="shared" ca="1" si="809"/>
        <v>-</v>
      </c>
      <c r="AR132" s="31" t="str">
        <f t="shared" ca="1" si="809"/>
        <v>-</v>
      </c>
      <c r="AS132" s="35">
        <v>0</v>
      </c>
      <c r="AT132" s="229">
        <v>0</v>
      </c>
      <c r="AU132" s="344">
        <f t="shared" ca="1" si="810"/>
        <v>100</v>
      </c>
      <c r="AV132" s="345">
        <f t="shared" ca="1" si="811"/>
        <v>100</v>
      </c>
      <c r="AW132" s="346">
        <f t="shared" ca="1" si="812"/>
        <v>100</v>
      </c>
      <c r="AX132" s="280"/>
      <c r="AY132" s="280"/>
      <c r="AZ132" s="347">
        <f t="shared" ca="1" si="813"/>
        <v>300000</v>
      </c>
      <c r="BA132" s="348">
        <f t="shared" ca="1" si="814"/>
        <v>300000</v>
      </c>
      <c r="BB132" s="347">
        <f t="shared" ca="1" si="815"/>
        <v>3000</v>
      </c>
      <c r="BC132" s="37" t="str">
        <f t="shared" ca="1" si="815"/>
        <v>Неделя</v>
      </c>
      <c r="BD132" s="229" t="str">
        <f t="shared" ca="1" si="816"/>
        <v>Нед</v>
      </c>
      <c r="BE132" s="283">
        <f t="shared" ref="BE132:BE185" ca="1" si="834">INDEX(indDiscZX,MATCH($AN132,indPrefixX,0))</f>
        <v>0</v>
      </c>
      <c r="BF132" s="347">
        <f t="array" aca="1" ref="BF132" ca="1">SUM($K132:$V132*$BK132:$BV132)*$AZ132</f>
        <v>0</v>
      </c>
      <c r="BG132" s="347">
        <f t="array" aca="1" ref="BG132" ca="1">SUM($K132:$V132*$BY132:$CJ132*$BK132:$BV132)*$AZ132*$BX132</f>
        <v>0</v>
      </c>
      <c r="BH132" s="347">
        <f t="array" aca="1" ref="BH132" ca="1">SUM($K132:$V132*$BY132:$CJ132*$BK132:$BV132)*(1-$BE132)*$AZ132*$BX132</f>
        <v>0</v>
      </c>
      <c r="BI132" s="350">
        <f t="shared" ca="1" si="817"/>
        <v>0</v>
      </c>
      <c r="BJ132" s="275" t="str">
        <f t="shared" ca="1" si="818"/>
        <v>Да</v>
      </c>
      <c r="BK132" s="116">
        <f t="shared" ca="1" si="819"/>
        <v>0.8</v>
      </c>
      <c r="BL132" s="117">
        <f t="shared" ca="1" si="819"/>
        <v>0.9</v>
      </c>
      <c r="BM132" s="117">
        <f t="shared" ca="1" si="819"/>
        <v>1</v>
      </c>
      <c r="BN132" s="117">
        <f t="shared" ca="1" si="819"/>
        <v>1</v>
      </c>
      <c r="BO132" s="117">
        <f t="shared" ca="1" si="819"/>
        <v>1</v>
      </c>
      <c r="BP132" s="117">
        <f t="shared" ca="1" si="819"/>
        <v>1</v>
      </c>
      <c r="BQ132" s="117">
        <f t="shared" ca="1" si="819"/>
        <v>0.9</v>
      </c>
      <c r="BR132" s="117">
        <f t="shared" ca="1" si="819"/>
        <v>0.9</v>
      </c>
      <c r="BS132" s="117">
        <f t="shared" ca="1" si="819"/>
        <v>1.3</v>
      </c>
      <c r="BT132" s="117">
        <f t="shared" ca="1" si="819"/>
        <v>1.3</v>
      </c>
      <c r="BU132" s="117">
        <f t="shared" ca="1" si="819"/>
        <v>1.3</v>
      </c>
      <c r="BV132" s="278">
        <f t="shared" ca="1" si="819"/>
        <v>1.3</v>
      </c>
      <c r="BW132" s="280">
        <f t="shared" ref="BW132:BW185" si="835">ROW()-MATCH($AO132,resList,0)+1</f>
        <v>6</v>
      </c>
      <c r="BX132" s="118">
        <f>IF($AN132="Ya",100%,100%+extraDelayZ)</f>
        <v>1</v>
      </c>
      <c r="BY132" s="263">
        <f t="shared" si="820"/>
        <v>1</v>
      </c>
      <c r="BZ132" s="264">
        <f t="shared" si="821"/>
        <v>1</v>
      </c>
      <c r="CA132" s="264">
        <f t="shared" si="822"/>
        <v>1</v>
      </c>
      <c r="CB132" s="264">
        <f t="shared" si="823"/>
        <v>1</v>
      </c>
      <c r="CC132" s="264">
        <f t="shared" si="824"/>
        <v>1</v>
      </c>
      <c r="CD132" s="264">
        <f t="shared" si="825"/>
        <v>1</v>
      </c>
      <c r="CE132" s="264">
        <f t="shared" si="826"/>
        <v>1</v>
      </c>
      <c r="CF132" s="264">
        <f t="shared" si="827"/>
        <v>1</v>
      </c>
      <c r="CG132" s="264">
        <f t="shared" si="828"/>
        <v>1</v>
      </c>
      <c r="CH132" s="264">
        <f t="shared" si="829"/>
        <v>1</v>
      </c>
      <c r="CI132" s="264">
        <f t="shared" si="830"/>
        <v>1</v>
      </c>
      <c r="CJ132" s="265">
        <f t="shared" si="831"/>
        <v>1</v>
      </c>
      <c r="CK132" s="269">
        <f t="array" ref="CK132">IF(ISERROR(SUM($K132:$V132*$BY132:$CJ132)/SUM($K132:$V132)),1,SUM($K132:$V132*$BY132:$CJ132)/SUM($K132:$V132))-1</f>
        <v>0</v>
      </c>
      <c r="CL132" s="234"/>
    </row>
    <row r="133" spans="1:90" ht="12.75" hidden="1" outlineLevel="1" x14ac:dyDescent="0.2">
      <c r="B133" s="404" t="str">
        <f t="shared" ca="1" si="799"/>
        <v>Синхрон 240х400 + Перетяжка</v>
      </c>
      <c r="C133" s="676" t="str">
        <f t="shared" ca="1" si="800"/>
        <v>х1000</v>
      </c>
      <c r="D133" s="405">
        <f t="shared" ca="1" si="801"/>
        <v>1400</v>
      </c>
      <c r="E133" s="405">
        <f t="shared" ca="1" si="802"/>
        <v>1400</v>
      </c>
      <c r="F133" s="405">
        <f t="shared" ca="1" si="803"/>
        <v>1400</v>
      </c>
      <c r="G133" s="406">
        <f t="shared" ca="1" si="804"/>
        <v>1400</v>
      </c>
      <c r="H133" s="406">
        <f t="shared" ca="1" si="805"/>
        <v>1400</v>
      </c>
      <c r="I133" s="406">
        <f t="shared" ca="1" si="806"/>
        <v>0</v>
      </c>
      <c r="J133" s="407">
        <f t="shared" ca="1" si="807"/>
        <v>0</v>
      </c>
      <c r="K133" s="617"/>
      <c r="L133" s="618"/>
      <c r="M133" s="618"/>
      <c r="N133" s="618"/>
      <c r="O133" s="618"/>
      <c r="P133" s="618"/>
      <c r="Q133" s="618"/>
      <c r="R133" s="618"/>
      <c r="S133" s="618"/>
      <c r="T133" s="618"/>
      <c r="U133" s="618"/>
      <c r="V133" s="619"/>
      <c r="W133" s="406">
        <f t="shared" ca="1" si="832"/>
        <v>0</v>
      </c>
      <c r="X133" s="406"/>
      <c r="Y133" s="411"/>
      <c r="Z133" s="412">
        <f t="shared" ref="Z133" si="836">CK133</f>
        <v>0</v>
      </c>
      <c r="AA133" s="620"/>
      <c r="AB133" s="620"/>
      <c r="AC133" s="620"/>
      <c r="AD133" s="620"/>
      <c r="AE133" s="620"/>
      <c r="AF133" s="620"/>
      <c r="AG133" s="620"/>
      <c r="AH133" s="620"/>
      <c r="AI133" s="620"/>
      <c r="AJ133" s="620"/>
      <c r="AK133" s="620"/>
      <c r="AL133" s="620"/>
      <c r="AM133" s="621"/>
      <c r="AN133" s="351" t="s">
        <v>125</v>
      </c>
      <c r="AO133" s="351" t="str">
        <f t="shared" si="833"/>
        <v>Kommersant.ru</v>
      </c>
      <c r="AP133" s="115">
        <f t="shared" si="409"/>
        <v>9</v>
      </c>
      <c r="AQ133" s="31" t="str">
        <f t="shared" ca="1" si="809"/>
        <v>-</v>
      </c>
      <c r="AR133" s="31" t="str">
        <f t="shared" ca="1" si="809"/>
        <v>Вкл</v>
      </c>
      <c r="AS133" s="35">
        <v>0</v>
      </c>
      <c r="AT133" s="229">
        <v>0</v>
      </c>
      <c r="AU133" s="344">
        <f t="shared" ca="1" si="810"/>
        <v>1400</v>
      </c>
      <c r="AV133" s="345">
        <f t="shared" ca="1" si="811"/>
        <v>1400</v>
      </c>
      <c r="AW133" s="346">
        <f t="shared" ca="1" si="812"/>
        <v>1400</v>
      </c>
      <c r="AX133" s="280"/>
      <c r="AY133" s="280"/>
      <c r="AZ133" s="347">
        <f t="shared" ca="1" si="813"/>
        <v>1400</v>
      </c>
      <c r="BA133" s="348">
        <f t="shared" ca="1" si="814"/>
        <v>1400</v>
      </c>
      <c r="BB133" s="347">
        <f t="shared" ca="1" si="815"/>
        <v>1</v>
      </c>
      <c r="BC133" s="37" t="str">
        <f t="shared" ca="1" si="815"/>
        <v>1000 контактов</v>
      </c>
      <c r="BD133" s="229" t="str">
        <f t="shared" ca="1" si="816"/>
        <v>х1000</v>
      </c>
      <c r="BE133" s="283">
        <f t="shared" ca="1" si="834"/>
        <v>0</v>
      </c>
      <c r="BF133" s="347">
        <f t="array" aca="1" ref="BF133" ca="1">SUM($K133:$V133*$BK133:$BV133)*$AZ133</f>
        <v>0</v>
      </c>
      <c r="BG133" s="347">
        <f t="array" aca="1" ref="BG133" ca="1">SUM($K133:$V133*$BY133:$CJ133*$BK133:$BV133)*$AZ133*$BX133</f>
        <v>0</v>
      </c>
      <c r="BH133" s="347">
        <f t="array" aca="1" ref="BH133" ca="1">SUM($K133:$V133*$BY133:$CJ133*$BK133:$BV133)*(1-$BE133)*$AZ133*$BX133</f>
        <v>0</v>
      </c>
      <c r="BI133" s="350">
        <f t="shared" ca="1" si="817"/>
        <v>0</v>
      </c>
      <c r="BJ133" s="275" t="str">
        <f t="shared" ca="1" si="818"/>
        <v>Да</v>
      </c>
      <c r="BK133" s="116">
        <f t="shared" ca="1" si="819"/>
        <v>0.8</v>
      </c>
      <c r="BL133" s="117">
        <f t="shared" ca="1" si="819"/>
        <v>0.9</v>
      </c>
      <c r="BM133" s="117">
        <f t="shared" ca="1" si="819"/>
        <v>1</v>
      </c>
      <c r="BN133" s="117">
        <f t="shared" ca="1" si="819"/>
        <v>1</v>
      </c>
      <c r="BO133" s="117">
        <f t="shared" ca="1" si="819"/>
        <v>1</v>
      </c>
      <c r="BP133" s="117">
        <f t="shared" ca="1" si="819"/>
        <v>1</v>
      </c>
      <c r="BQ133" s="117">
        <f t="shared" ca="1" si="819"/>
        <v>0.9</v>
      </c>
      <c r="BR133" s="117">
        <f t="shared" ca="1" si="819"/>
        <v>0.9</v>
      </c>
      <c r="BS133" s="117">
        <f t="shared" ca="1" si="819"/>
        <v>1.3</v>
      </c>
      <c r="BT133" s="117">
        <f t="shared" ca="1" si="819"/>
        <v>1.3</v>
      </c>
      <c r="BU133" s="117">
        <f t="shared" ca="1" si="819"/>
        <v>1.3</v>
      </c>
      <c r="BV133" s="278">
        <f t="shared" ca="1" si="819"/>
        <v>1.3</v>
      </c>
      <c r="BW133" s="280">
        <f t="shared" si="835"/>
        <v>7</v>
      </c>
      <c r="BX133" s="118">
        <f>IF($AN133="Ya",100%,100%+extraDelayZ)</f>
        <v>1</v>
      </c>
      <c r="BY133" s="263">
        <f t="shared" ref="BY133" si="837">(1+AA133)</f>
        <v>1</v>
      </c>
      <c r="BZ133" s="264">
        <f t="shared" ref="BZ133" si="838">(1+AB133)</f>
        <v>1</v>
      </c>
      <c r="CA133" s="264">
        <f t="shared" ref="CA133" si="839">(1+AC133)</f>
        <v>1</v>
      </c>
      <c r="CB133" s="264">
        <f t="shared" ref="CB133" si="840">(1+AD133)</f>
        <v>1</v>
      </c>
      <c r="CC133" s="264">
        <f t="shared" ref="CC133" si="841">(1+AE133)</f>
        <v>1</v>
      </c>
      <c r="CD133" s="264">
        <f t="shared" ref="CD133" si="842">(1+AF133)</f>
        <v>1</v>
      </c>
      <c r="CE133" s="264">
        <f t="shared" ref="CE133" si="843">(1+AG133)</f>
        <v>1</v>
      </c>
      <c r="CF133" s="264">
        <f t="shared" ref="CF133" si="844">(1+AH133)</f>
        <v>1</v>
      </c>
      <c r="CG133" s="264">
        <f t="shared" ref="CG133" si="845">(1+AI133)</f>
        <v>1</v>
      </c>
      <c r="CH133" s="264">
        <f t="shared" ref="CH133" si="846">(1+AJ133)</f>
        <v>1</v>
      </c>
      <c r="CI133" s="264">
        <f t="shared" ref="CI133" si="847">(1+AK133)</f>
        <v>1</v>
      </c>
      <c r="CJ133" s="265">
        <f t="shared" ref="CJ133" si="848">(1+AL133)</f>
        <v>1</v>
      </c>
      <c r="CK133" s="269">
        <f t="array" ref="CK133">IF(ISERROR(SUM($K133:$V133*$BY133:$CJ133)/SUM($K133:$V133)),1,SUM($K133:$V133*$BY133:$CJ133)/SUM($K133:$V133))-1</f>
        <v>0</v>
      </c>
      <c r="CL133" s="234"/>
    </row>
    <row r="134" spans="1:90" ht="12.75" hidden="1" outlineLevel="1" x14ac:dyDescent="0.2">
      <c r="B134" s="404" t="str">
        <f t="shared" ca="1" si="799"/>
        <v>FullScreen, F=1 в сутки</v>
      </c>
      <c r="C134" s="676" t="str">
        <f t="shared" ca="1" si="800"/>
        <v>х1000</v>
      </c>
      <c r="D134" s="405">
        <f t="shared" ca="1" si="801"/>
        <v>3500</v>
      </c>
      <c r="E134" s="405">
        <f t="shared" ca="1" si="802"/>
        <v>3500</v>
      </c>
      <c r="F134" s="405">
        <f t="shared" ca="1" si="803"/>
        <v>3500</v>
      </c>
      <c r="G134" s="406">
        <f t="shared" ca="1" si="804"/>
        <v>3500</v>
      </c>
      <c r="H134" s="406">
        <f t="shared" ca="1" si="805"/>
        <v>3500</v>
      </c>
      <c r="I134" s="406">
        <f t="shared" ca="1" si="806"/>
        <v>0</v>
      </c>
      <c r="J134" s="407">
        <f t="shared" ca="1" si="807"/>
        <v>0</v>
      </c>
      <c r="K134" s="617"/>
      <c r="L134" s="618"/>
      <c r="M134" s="618"/>
      <c r="N134" s="618"/>
      <c r="O134" s="618"/>
      <c r="P134" s="618"/>
      <c r="Q134" s="618"/>
      <c r="R134" s="618"/>
      <c r="S134" s="618"/>
      <c r="T134" s="618"/>
      <c r="U134" s="618"/>
      <c r="V134" s="619"/>
      <c r="W134" s="406">
        <f t="shared" ca="1" si="832"/>
        <v>0</v>
      </c>
      <c r="X134" s="406"/>
      <c r="Y134" s="411"/>
      <c r="Z134" s="412">
        <f t="shared" si="808"/>
        <v>0</v>
      </c>
      <c r="AA134" s="620"/>
      <c r="AB134" s="620"/>
      <c r="AC134" s="620"/>
      <c r="AD134" s="620"/>
      <c r="AE134" s="620"/>
      <c r="AF134" s="620"/>
      <c r="AG134" s="620"/>
      <c r="AH134" s="620"/>
      <c r="AI134" s="620"/>
      <c r="AJ134" s="620"/>
      <c r="AK134" s="620"/>
      <c r="AL134" s="620"/>
      <c r="AM134" s="621"/>
      <c r="AN134" s="351" t="s">
        <v>125</v>
      </c>
      <c r="AO134" s="351" t="str">
        <f t="shared" si="833"/>
        <v>Kommersant.ru</v>
      </c>
      <c r="AP134" s="115">
        <f t="shared" si="409"/>
        <v>9</v>
      </c>
      <c r="AQ134" s="31" t="str">
        <f t="shared" ca="1" si="809"/>
        <v>-</v>
      </c>
      <c r="AR134" s="31" t="str">
        <f t="shared" ca="1" si="809"/>
        <v>-</v>
      </c>
      <c r="AS134" s="35">
        <v>0</v>
      </c>
      <c r="AT134" s="229">
        <v>0</v>
      </c>
      <c r="AU134" s="344">
        <f t="shared" ca="1" si="810"/>
        <v>3500</v>
      </c>
      <c r="AV134" s="345">
        <f t="shared" ca="1" si="811"/>
        <v>3500</v>
      </c>
      <c r="AW134" s="346">
        <f t="shared" ca="1" si="812"/>
        <v>3500</v>
      </c>
      <c r="AX134" s="280"/>
      <c r="AY134" s="280"/>
      <c r="AZ134" s="347">
        <f t="shared" ca="1" si="813"/>
        <v>3500</v>
      </c>
      <c r="BA134" s="348">
        <f t="shared" ca="1" si="814"/>
        <v>3500</v>
      </c>
      <c r="BB134" s="347">
        <f t="shared" ca="1" si="815"/>
        <v>1</v>
      </c>
      <c r="BC134" s="37" t="str">
        <f t="shared" ca="1" si="815"/>
        <v>1000 контактов</v>
      </c>
      <c r="BD134" s="229" t="str">
        <f t="shared" ca="1" si="816"/>
        <v>х1000</v>
      </c>
      <c r="BE134" s="283">
        <f t="shared" ca="1" si="834"/>
        <v>0</v>
      </c>
      <c r="BF134" s="347">
        <f t="array" aca="1" ref="BF134" ca="1">SUM($K134:$V134*$BK134:$BV134)*$AZ134</f>
        <v>0</v>
      </c>
      <c r="BG134" s="347">
        <f t="array" aca="1" ref="BG134" ca="1">SUM($K134:$V134*$BY134:$CJ134*$BK134:$BV134)*$AZ134*$BX134</f>
        <v>0</v>
      </c>
      <c r="BH134" s="347">
        <f t="array" aca="1" ref="BH134" ca="1">SUM($K134:$V134*$BY134:$CJ134*$BK134:$BV134)*(1-$BE134)*$AZ134*$BX134</f>
        <v>0</v>
      </c>
      <c r="BI134" s="350">
        <f t="shared" ca="1" si="817"/>
        <v>0</v>
      </c>
      <c r="BJ134" s="275" t="str">
        <f t="shared" ca="1" si="818"/>
        <v>Да</v>
      </c>
      <c r="BK134" s="116">
        <f t="shared" ca="1" si="819"/>
        <v>0.8</v>
      </c>
      <c r="BL134" s="117">
        <f t="shared" ca="1" si="819"/>
        <v>0.9</v>
      </c>
      <c r="BM134" s="117">
        <f t="shared" ca="1" si="819"/>
        <v>1</v>
      </c>
      <c r="BN134" s="117">
        <f t="shared" ca="1" si="819"/>
        <v>1</v>
      </c>
      <c r="BO134" s="117">
        <f t="shared" ca="1" si="819"/>
        <v>1</v>
      </c>
      <c r="BP134" s="117">
        <f t="shared" ca="1" si="819"/>
        <v>1</v>
      </c>
      <c r="BQ134" s="117">
        <f t="shared" ca="1" si="819"/>
        <v>0.9</v>
      </c>
      <c r="BR134" s="117">
        <f t="shared" ca="1" si="819"/>
        <v>0.9</v>
      </c>
      <c r="BS134" s="117">
        <f t="shared" ca="1" si="819"/>
        <v>1.3</v>
      </c>
      <c r="BT134" s="117">
        <f t="shared" ca="1" si="819"/>
        <v>1.3</v>
      </c>
      <c r="BU134" s="117">
        <f t="shared" ca="1" si="819"/>
        <v>1.3</v>
      </c>
      <c r="BV134" s="278">
        <f t="shared" ca="1" si="819"/>
        <v>1.3</v>
      </c>
      <c r="BW134" s="280">
        <f t="shared" si="835"/>
        <v>8</v>
      </c>
      <c r="BX134" s="118">
        <f>IF($AN134="Ya",100%,100%+extraDelayZ)</f>
        <v>1</v>
      </c>
      <c r="BY134" s="263">
        <f t="shared" si="820"/>
        <v>1</v>
      </c>
      <c r="BZ134" s="264">
        <f t="shared" si="821"/>
        <v>1</v>
      </c>
      <c r="CA134" s="264">
        <f t="shared" si="822"/>
        <v>1</v>
      </c>
      <c r="CB134" s="264">
        <f t="shared" si="823"/>
        <v>1</v>
      </c>
      <c r="CC134" s="264">
        <f t="shared" si="824"/>
        <v>1</v>
      </c>
      <c r="CD134" s="264">
        <f t="shared" si="825"/>
        <v>1</v>
      </c>
      <c r="CE134" s="264">
        <f t="shared" si="826"/>
        <v>1</v>
      </c>
      <c r="CF134" s="264">
        <f t="shared" si="827"/>
        <v>1</v>
      </c>
      <c r="CG134" s="264">
        <f t="shared" si="828"/>
        <v>1</v>
      </c>
      <c r="CH134" s="264">
        <f t="shared" si="829"/>
        <v>1</v>
      </c>
      <c r="CI134" s="264">
        <f t="shared" si="830"/>
        <v>1</v>
      </c>
      <c r="CJ134" s="265">
        <f t="shared" si="831"/>
        <v>1</v>
      </c>
      <c r="CK134" s="269">
        <f t="array" ref="CK134">IF(ISERROR(SUM($K134:$V134*$BY134:$CJ134)/SUM($K134:$V134)),1,SUM($K134:$V134*$BY134:$CJ134)/SUM($K134:$V134))-1</f>
        <v>0</v>
      </c>
      <c r="CL134" s="234"/>
    </row>
    <row r="135" spans="1:90" ht="12.75" hidden="1" outlineLevel="1" x14ac:dyDescent="0.2">
      <c r="B135" s="414" t="str">
        <f t="shared" ca="1" si="799"/>
        <v>Брендирование Главной страницы, статика</v>
      </c>
      <c r="C135" s="676" t="str">
        <f t="shared" ca="1" si="800"/>
        <v>Нед</v>
      </c>
      <c r="D135" s="415">
        <f t="shared" ca="1" si="801"/>
        <v>1440</v>
      </c>
      <c r="E135" s="415">
        <f t="shared" ca="1" si="802"/>
        <v>1440</v>
      </c>
      <c r="F135" s="415">
        <f t="shared" ca="1" si="803"/>
        <v>1440</v>
      </c>
      <c r="G135" s="416">
        <f t="shared" ca="1" si="804"/>
        <v>720000</v>
      </c>
      <c r="H135" s="416">
        <f t="shared" ca="1" si="805"/>
        <v>720000</v>
      </c>
      <c r="I135" s="406">
        <f t="shared" ca="1" si="806"/>
        <v>0</v>
      </c>
      <c r="J135" s="407">
        <f t="shared" ca="1" si="807"/>
        <v>0</v>
      </c>
      <c r="K135" s="622"/>
      <c r="L135" s="623"/>
      <c r="M135" s="623"/>
      <c r="N135" s="623"/>
      <c r="O135" s="623"/>
      <c r="P135" s="623"/>
      <c r="Q135" s="623"/>
      <c r="R135" s="623"/>
      <c r="S135" s="623"/>
      <c r="T135" s="623"/>
      <c r="U135" s="623"/>
      <c r="V135" s="624"/>
      <c r="W135" s="416">
        <f t="shared" ca="1" si="832"/>
        <v>0</v>
      </c>
      <c r="X135" s="416"/>
      <c r="Y135" s="420"/>
      <c r="Z135" s="412">
        <f t="shared" si="808"/>
        <v>0</v>
      </c>
      <c r="AA135" s="625"/>
      <c r="AB135" s="625"/>
      <c r="AC135" s="625"/>
      <c r="AD135" s="625"/>
      <c r="AE135" s="625"/>
      <c r="AF135" s="625"/>
      <c r="AG135" s="625"/>
      <c r="AH135" s="625"/>
      <c r="AI135" s="625"/>
      <c r="AJ135" s="625"/>
      <c r="AK135" s="625"/>
      <c r="AL135" s="625"/>
      <c r="AM135" s="626"/>
      <c r="AN135" s="351" t="s">
        <v>125</v>
      </c>
      <c r="AO135" s="351" t="str">
        <f t="shared" si="833"/>
        <v>Kommersant.ru</v>
      </c>
      <c r="AP135" s="115">
        <f t="shared" si="409"/>
        <v>9</v>
      </c>
      <c r="AQ135" s="31" t="str">
        <f t="shared" ca="1" si="809"/>
        <v>-</v>
      </c>
      <c r="AR135" s="31" t="str">
        <f t="shared" ca="1" si="809"/>
        <v>-</v>
      </c>
      <c r="AS135" s="35">
        <v>0</v>
      </c>
      <c r="AT135" s="229">
        <v>0</v>
      </c>
      <c r="AU135" s="344">
        <f t="shared" ca="1" si="810"/>
        <v>1440</v>
      </c>
      <c r="AV135" s="345">
        <f t="shared" ca="1" si="811"/>
        <v>1440</v>
      </c>
      <c r="AW135" s="346">
        <f t="shared" ca="1" si="812"/>
        <v>1440</v>
      </c>
      <c r="AX135" s="280"/>
      <c r="AY135" s="280"/>
      <c r="AZ135" s="347">
        <f t="shared" ca="1" si="813"/>
        <v>720000</v>
      </c>
      <c r="BA135" s="348">
        <f t="shared" ca="1" si="814"/>
        <v>720000</v>
      </c>
      <c r="BB135" s="347">
        <f t="shared" ca="1" si="815"/>
        <v>500</v>
      </c>
      <c r="BC135" s="37" t="str">
        <f t="shared" ca="1" si="815"/>
        <v>Неделя</v>
      </c>
      <c r="BD135" s="229" t="str">
        <f t="shared" ca="1" si="816"/>
        <v>Нед</v>
      </c>
      <c r="BE135" s="283">
        <f t="shared" ca="1" si="834"/>
        <v>0</v>
      </c>
      <c r="BF135" s="347">
        <f t="array" aca="1" ref="BF135" ca="1">SUM($K135:$V135*$BK135:$BV135)*$AZ135</f>
        <v>0</v>
      </c>
      <c r="BG135" s="347">
        <f t="array" aca="1" ref="BG135" ca="1">SUM($K135:$V135*$BY135:$CJ135*$BK135:$BV135)*$AZ135*$BX135</f>
        <v>0</v>
      </c>
      <c r="BH135" s="347">
        <f t="array" aca="1" ref="BH135" ca="1">SUM($K135:$V135*$BY135:$CJ135*$BK135:$BV135)*(1-$BE135)*$AZ135*$BX135</f>
        <v>0</v>
      </c>
      <c r="BI135" s="350">
        <f t="shared" ca="1" si="817"/>
        <v>0</v>
      </c>
      <c r="BJ135" s="275" t="str">
        <f t="shared" ca="1" si="818"/>
        <v>Да</v>
      </c>
      <c r="BK135" s="116">
        <f t="shared" ca="1" si="819"/>
        <v>0.8</v>
      </c>
      <c r="BL135" s="117">
        <f t="shared" ca="1" si="819"/>
        <v>0.9</v>
      </c>
      <c r="BM135" s="117">
        <f t="shared" ca="1" si="819"/>
        <v>1</v>
      </c>
      <c r="BN135" s="117">
        <f t="shared" ca="1" si="819"/>
        <v>1</v>
      </c>
      <c r="BO135" s="117">
        <f t="shared" ca="1" si="819"/>
        <v>1</v>
      </c>
      <c r="BP135" s="117">
        <f t="shared" ca="1" si="819"/>
        <v>1</v>
      </c>
      <c r="BQ135" s="117">
        <f t="shared" ca="1" si="819"/>
        <v>0.9</v>
      </c>
      <c r="BR135" s="117">
        <f t="shared" ca="1" si="819"/>
        <v>0.9</v>
      </c>
      <c r="BS135" s="117">
        <f t="shared" ca="1" si="819"/>
        <v>1.3</v>
      </c>
      <c r="BT135" s="117">
        <f t="shared" ca="1" si="819"/>
        <v>1.3</v>
      </c>
      <c r="BU135" s="117">
        <f t="shared" ca="1" si="819"/>
        <v>1.3</v>
      </c>
      <c r="BV135" s="278">
        <f t="shared" ca="1" si="819"/>
        <v>1.3</v>
      </c>
      <c r="BW135" s="280">
        <f t="shared" si="835"/>
        <v>9</v>
      </c>
      <c r="BX135" s="118">
        <f>IF($AN135="Ya",100%,100%+extraDelayZ)</f>
        <v>1</v>
      </c>
      <c r="BY135" s="263">
        <f t="shared" si="820"/>
        <v>1</v>
      </c>
      <c r="BZ135" s="264">
        <f t="shared" si="821"/>
        <v>1</v>
      </c>
      <c r="CA135" s="264">
        <f t="shared" si="822"/>
        <v>1</v>
      </c>
      <c r="CB135" s="264">
        <f t="shared" si="823"/>
        <v>1</v>
      </c>
      <c r="CC135" s="264">
        <f t="shared" si="824"/>
        <v>1</v>
      </c>
      <c r="CD135" s="264">
        <f t="shared" si="825"/>
        <v>1</v>
      </c>
      <c r="CE135" s="264">
        <f t="shared" si="826"/>
        <v>1</v>
      </c>
      <c r="CF135" s="264">
        <f t="shared" si="827"/>
        <v>1</v>
      </c>
      <c r="CG135" s="264">
        <f t="shared" si="828"/>
        <v>1</v>
      </c>
      <c r="CH135" s="264">
        <f t="shared" si="829"/>
        <v>1</v>
      </c>
      <c r="CI135" s="264">
        <f t="shared" si="830"/>
        <v>1</v>
      </c>
      <c r="CJ135" s="265">
        <f t="shared" si="831"/>
        <v>1</v>
      </c>
      <c r="CK135" s="269">
        <f t="array" ref="CK135">IF(ISERROR(SUM($K135:$V135*$BY135:$CJ135)/SUM($K135:$V135)),1,SUM($K135:$V135*$BY135:$CJ135)/SUM($K135:$V135))-1</f>
        <v>0</v>
      </c>
      <c r="CL135" s="234"/>
    </row>
    <row r="136" spans="1:90" ht="15" collapsed="1" x14ac:dyDescent="0.2">
      <c r="A136" s="391"/>
      <c r="B136" s="392" t="str">
        <f>CONCATENATE($AO136,IF($AX136&gt;0,CONCATENATE("  (план ",TEXT(INDEX(indBudX,MATCH($AN136,indPrefixX,0)),"# ##0")," руб.)"),""))</f>
        <v>Newsru.com</v>
      </c>
      <c r="C136" s="650" t="s">
        <v>363</v>
      </c>
      <c r="D136" s="393"/>
      <c r="E136" s="394"/>
      <c r="F136" s="394"/>
      <c r="G136" s="395"/>
      <c r="H136" s="395"/>
      <c r="I136" s="395">
        <f t="shared" ca="1" si="806"/>
        <v>0</v>
      </c>
      <c r="J136" s="396">
        <f ca="1">$BH136</f>
        <v>0</v>
      </c>
      <c r="K136" s="397"/>
      <c r="L136" s="398"/>
      <c r="M136" s="398"/>
      <c r="N136" s="398"/>
      <c r="O136" s="398"/>
      <c r="P136" s="398"/>
      <c r="Q136" s="398"/>
      <c r="R136" s="398"/>
      <c r="S136" s="398"/>
      <c r="T136" s="398"/>
      <c r="U136" s="398"/>
      <c r="V136" s="399"/>
      <c r="W136" s="395">
        <f t="shared" ca="1" si="832"/>
        <v>0</v>
      </c>
      <c r="X136" s="576"/>
      <c r="Y136" s="400">
        <f ca="1">$BE136</f>
        <v>0</v>
      </c>
      <c r="Z136" s="401"/>
      <c r="AA136" s="402"/>
      <c r="AB136" s="402"/>
      <c r="AC136" s="402"/>
      <c r="AD136" s="402"/>
      <c r="AE136" s="402"/>
      <c r="AF136" s="402"/>
      <c r="AG136" s="402"/>
      <c r="AH136" s="402"/>
      <c r="AI136" s="402"/>
      <c r="AJ136" s="402"/>
      <c r="AK136" s="402"/>
      <c r="AL136" s="402"/>
      <c r="AM136" s="403"/>
      <c r="AN136" s="130" t="s">
        <v>126</v>
      </c>
      <c r="AO136" s="130" t="str">
        <f t="shared" si="833"/>
        <v>Newsru.com</v>
      </c>
      <c r="AP136" s="119">
        <f t="shared" si="409"/>
        <v>9</v>
      </c>
      <c r="AQ136" s="120"/>
      <c r="AR136" s="120"/>
      <c r="AS136" s="121"/>
      <c r="AT136" s="228"/>
      <c r="AU136" s="232"/>
      <c r="AV136" s="179"/>
      <c r="AW136" s="233"/>
      <c r="AX136" s="279">
        <f>IF(ISERROR(INDEX(indBudX,MATCH($AN136,indPrefixX,0))),0,INDEX(indBudX,MATCH($AN136,indPrefixX,0)))</f>
        <v>0</v>
      </c>
      <c r="AY136" s="279">
        <f>IF(ISNUMBER($X136),$X136,0)</f>
        <v>0</v>
      </c>
      <c r="AZ136" s="123"/>
      <c r="BA136" s="125"/>
      <c r="BB136" s="123"/>
      <c r="BC136" s="124"/>
      <c r="BD136" s="464"/>
      <c r="BE136" s="282">
        <f t="shared" ca="1" si="834"/>
        <v>0</v>
      </c>
      <c r="BF136" s="123">
        <f t="shared" ref="BF136:BI136" ca="1" si="849">SUM(OFFSET(BF136,1,0,$AP136-1,1))</f>
        <v>0</v>
      </c>
      <c r="BG136" s="123">
        <f t="shared" ca="1" si="849"/>
        <v>0</v>
      </c>
      <c r="BH136" s="123">
        <f t="shared" ca="1" si="849"/>
        <v>0</v>
      </c>
      <c r="BI136" s="273">
        <f t="shared" ca="1" si="849"/>
        <v>0</v>
      </c>
      <c r="BJ136" s="274"/>
      <c r="BK136" s="126"/>
      <c r="BL136" s="127"/>
      <c r="BM136" s="127"/>
      <c r="BN136" s="127"/>
      <c r="BO136" s="127"/>
      <c r="BP136" s="127"/>
      <c r="BQ136" s="127"/>
      <c r="BR136" s="127"/>
      <c r="BS136" s="127"/>
      <c r="BT136" s="127"/>
      <c r="BU136" s="127"/>
      <c r="BV136" s="277"/>
      <c r="BW136" s="279">
        <f t="shared" si="835"/>
        <v>1</v>
      </c>
      <c r="BX136" s="128"/>
      <c r="BY136" s="260"/>
      <c r="BZ136" s="261"/>
      <c r="CA136" s="261"/>
      <c r="CB136" s="261"/>
      <c r="CC136" s="261"/>
      <c r="CD136" s="261"/>
      <c r="CE136" s="261"/>
      <c r="CF136" s="261"/>
      <c r="CG136" s="261"/>
      <c r="CH136" s="261"/>
      <c r="CI136" s="261"/>
      <c r="CJ136" s="262"/>
      <c r="CK136" s="270"/>
      <c r="CL136" s="234"/>
    </row>
    <row r="137" spans="1:90" ht="12.75" hidden="1" outlineLevel="1" x14ac:dyDescent="0.2">
      <c r="B137" s="404" t="str">
        <f t="shared" ref="B137:B144" ca="1" si="850">INDEX(INDIRECT(LOWER($AN137)&amp;"Price"),$BW137,2)</f>
        <v>Пакет "Охват 1000К", 240x400</v>
      </c>
      <c r="C137" s="649" t="str">
        <f t="shared" ref="C137:C144" ca="1" si="851">$BD137</f>
        <v>Пакет</v>
      </c>
      <c r="D137" s="405">
        <f t="shared" ref="D137:D144" ca="1" si="852">$AU137</f>
        <v>350</v>
      </c>
      <c r="E137" s="405">
        <f t="shared" ref="E137:E144" ca="1" si="853">$AV137</f>
        <v>350</v>
      </c>
      <c r="F137" s="405">
        <f t="shared" ref="F137:F144" ca="1" si="854">$AW137</f>
        <v>350</v>
      </c>
      <c r="G137" s="406">
        <f t="shared" ref="G137:G144" ca="1" si="855">$AZ137</f>
        <v>350000</v>
      </c>
      <c r="H137" s="406">
        <f t="shared" ref="H137:H144" ca="1" si="856">$BA137</f>
        <v>350000</v>
      </c>
      <c r="I137" s="406">
        <f t="shared" ref="I137:I144" ca="1" si="857">$BG137</f>
        <v>0</v>
      </c>
      <c r="J137" s="407">
        <f t="shared" ref="J137:J144" ca="1" si="858">$BH137</f>
        <v>0</v>
      </c>
      <c r="K137" s="617"/>
      <c r="L137" s="618"/>
      <c r="M137" s="618"/>
      <c r="N137" s="618"/>
      <c r="O137" s="618"/>
      <c r="P137" s="618"/>
      <c r="Q137" s="618"/>
      <c r="R137" s="618"/>
      <c r="S137" s="618"/>
      <c r="T137" s="618"/>
      <c r="U137" s="618"/>
      <c r="V137" s="619"/>
      <c r="W137" s="406">
        <f t="shared" ca="1" si="832"/>
        <v>0</v>
      </c>
      <c r="X137" s="406"/>
      <c r="Y137" s="411"/>
      <c r="Z137" s="412">
        <f t="shared" ref="Z137:Z144" si="859">CK137</f>
        <v>0</v>
      </c>
      <c r="AA137" s="620"/>
      <c r="AB137" s="620"/>
      <c r="AC137" s="620"/>
      <c r="AD137" s="620"/>
      <c r="AE137" s="620"/>
      <c r="AF137" s="620"/>
      <c r="AG137" s="620"/>
      <c r="AH137" s="620"/>
      <c r="AI137" s="620"/>
      <c r="AJ137" s="620"/>
      <c r="AK137" s="620"/>
      <c r="AL137" s="620"/>
      <c r="AM137" s="621"/>
      <c r="AN137" s="351" t="s">
        <v>126</v>
      </c>
      <c r="AO137" s="351" t="str">
        <f t="shared" si="833"/>
        <v>Newsru.com</v>
      </c>
      <c r="AP137" s="115">
        <f t="shared" si="409"/>
        <v>9</v>
      </c>
      <c r="AQ137" s="31" t="str">
        <f t="shared" ref="AQ137:AR144" ca="1" si="860">HLOOKUP(AQ$10,INDIRECT(LOWER($AN137)&amp;"Price"),$BW137,FALSE)</f>
        <v>-</v>
      </c>
      <c r="AR137" s="31" t="str">
        <f t="shared" ca="1" si="860"/>
        <v>-</v>
      </c>
      <c r="AS137" s="35">
        <v>0</v>
      </c>
      <c r="AT137" s="229">
        <v>0</v>
      </c>
      <c r="AU137" s="344">
        <f t="shared" ref="AU137:AU144" ca="1" si="861">HLOOKUP(AU$10,INDIRECT(LOWER($AN137)&amp;"Price"),$BW137,FALSE)</f>
        <v>350</v>
      </c>
      <c r="AV137" s="345">
        <f t="shared" ref="AV137:AV144" ca="1" si="862">IF(ISERROR($BG137/$BI137),$AU137,$BG137/$BI137)</f>
        <v>350</v>
      </c>
      <c r="AW137" s="346">
        <f t="shared" ref="AW137:AW144" ca="1" si="863">$AV137*(1-$BE137)</f>
        <v>350</v>
      </c>
      <c r="AX137" s="280"/>
      <c r="AY137" s="280"/>
      <c r="AZ137" s="347">
        <f t="shared" ref="AZ137:AZ144" ca="1" si="864">HLOOKUP(AZ$10,INDIRECT(LOWER($AN137)&amp;"Price"),$BW137,FALSE)</f>
        <v>350000</v>
      </c>
      <c r="BA137" s="348">
        <f t="shared" ref="BA137:BA144" ca="1" si="865">$AZ137*(1-$BE137)</f>
        <v>350000</v>
      </c>
      <c r="BB137" s="347">
        <f t="shared" ref="BB137:BC144" ca="1" si="866">HLOOKUP(BB$10,INDIRECT(LOWER($AN137)&amp;"Price"),$BW137,FALSE)</f>
        <v>1000</v>
      </c>
      <c r="BC137" s="37" t="str">
        <f t="shared" ca="1" si="866"/>
        <v>Пакет</v>
      </c>
      <c r="BD137" s="229" t="str">
        <f t="shared" ref="BD137:BD144" ca="1" si="867">IF(ISERROR(VLOOKUP($BC137,typeIndexPair,2,FALSE)),"",VLOOKUP($BC137,typeIndexPair,2,FALSE))</f>
        <v>Пакет</v>
      </c>
      <c r="BE137" s="283">
        <f t="shared" ca="1" si="834"/>
        <v>0</v>
      </c>
      <c r="BF137" s="347">
        <f t="array" aca="1" ref="BF137" ca="1">SUM($K137:$V137*$BK137:$BV137)*$AZ137</f>
        <v>0</v>
      </c>
      <c r="BG137" s="347">
        <f t="array" aca="1" ref="BG137" ca="1">SUM($K137:$V137*$BY137:$CJ137*$BK137:$BV137)*$AZ137*$BX137</f>
        <v>0</v>
      </c>
      <c r="BH137" s="347">
        <f t="array" aca="1" ref="BH137" ca="1">SUM($K137:$V137*$BY137:$CJ137*$BK137:$BV137)*(1-$BE137)*$AZ137*$BX137</f>
        <v>0</v>
      </c>
      <c r="BI137" s="350">
        <f t="shared" ref="BI137:BI144" ca="1" si="868">SUM($K137:$V137)*$BB137</f>
        <v>0</v>
      </c>
      <c r="BJ137" s="275" t="str">
        <f t="shared" ref="BJ137:BJ144" ca="1" si="869">IF(ISERROR(HLOOKUP(BJ$10,INDIRECT(LOWER($AN137)&amp;"Price"),$BW137,FALSE)),"Да",HLOOKUP(BJ$10,INDIRECT(LOWER($AN137)&amp;"Price"),$BW137,FALSE))</f>
        <v>Да</v>
      </c>
      <c r="BK137" s="116">
        <f t="shared" ref="BK137:BV144" ca="1" si="870">IF($BJ137="Особ.",INDEX(INDIRECT(LOWER($AN137)&amp;"Season2"),BK$9),IF($BJ137="Да",INDEX(INDIRECT(LOWER($AN137)&amp;"Season"),BK$9),100%))</f>
        <v>0.8</v>
      </c>
      <c r="BL137" s="117">
        <f t="shared" ca="1" si="870"/>
        <v>0.9</v>
      </c>
      <c r="BM137" s="117">
        <f t="shared" ca="1" si="870"/>
        <v>1</v>
      </c>
      <c r="BN137" s="117">
        <f t="shared" ca="1" si="870"/>
        <v>1</v>
      </c>
      <c r="BO137" s="117">
        <f t="shared" ca="1" si="870"/>
        <v>1</v>
      </c>
      <c r="BP137" s="117">
        <f t="shared" ca="1" si="870"/>
        <v>1</v>
      </c>
      <c r="BQ137" s="117">
        <f t="shared" ca="1" si="870"/>
        <v>0.9</v>
      </c>
      <c r="BR137" s="117">
        <f t="shared" ca="1" si="870"/>
        <v>0.9</v>
      </c>
      <c r="BS137" s="117">
        <f t="shared" ca="1" si="870"/>
        <v>1.3</v>
      </c>
      <c r="BT137" s="117">
        <f t="shared" ca="1" si="870"/>
        <v>1.3</v>
      </c>
      <c r="BU137" s="117">
        <f t="shared" ca="1" si="870"/>
        <v>1.3</v>
      </c>
      <c r="BV137" s="278">
        <f t="shared" ca="1" si="870"/>
        <v>1.3</v>
      </c>
      <c r="BW137" s="280">
        <f t="shared" si="835"/>
        <v>2</v>
      </c>
      <c r="BX137" s="118">
        <f>IF($AN137="Ya",100%,100%+extraDelayZ)</f>
        <v>1</v>
      </c>
      <c r="BY137" s="263">
        <f t="shared" ref="BY137:BY144" si="871">(1+AA137)</f>
        <v>1</v>
      </c>
      <c r="BZ137" s="264">
        <f t="shared" ref="BZ137:BZ144" si="872">(1+AB137)</f>
        <v>1</v>
      </c>
      <c r="CA137" s="264">
        <f t="shared" ref="CA137:CA144" si="873">(1+AC137)</f>
        <v>1</v>
      </c>
      <c r="CB137" s="264">
        <f t="shared" ref="CB137:CB144" si="874">(1+AD137)</f>
        <v>1</v>
      </c>
      <c r="CC137" s="264">
        <f t="shared" ref="CC137:CC144" si="875">(1+AE137)</f>
        <v>1</v>
      </c>
      <c r="CD137" s="264">
        <f t="shared" ref="CD137:CD144" si="876">(1+AF137)</f>
        <v>1</v>
      </c>
      <c r="CE137" s="264">
        <f t="shared" ref="CE137:CE144" si="877">(1+AG137)</f>
        <v>1</v>
      </c>
      <c r="CF137" s="264">
        <f t="shared" ref="CF137:CF144" si="878">(1+AH137)</f>
        <v>1</v>
      </c>
      <c r="CG137" s="264">
        <f t="shared" ref="CG137:CG144" si="879">(1+AI137)</f>
        <v>1</v>
      </c>
      <c r="CH137" s="264">
        <f t="shared" ref="CH137:CH144" si="880">(1+AJ137)</f>
        <v>1</v>
      </c>
      <c r="CI137" s="264">
        <f t="shared" ref="CI137:CI144" si="881">(1+AK137)</f>
        <v>1</v>
      </c>
      <c r="CJ137" s="265">
        <f t="shared" ref="CJ137:CJ144" si="882">(1+AL137)</f>
        <v>1</v>
      </c>
      <c r="CK137" s="269">
        <f t="array" ref="CK137">IF(ISERROR(SUM($K137:$V137*$BY137:$CJ137)/SUM($K137:$V137)),1,SUM($K137:$V137*$BY137:$CJ137)/SUM($K137:$V137))-1</f>
        <v>0</v>
      </c>
      <c r="CL137" s="234"/>
    </row>
    <row r="138" spans="1:90" ht="12.75" hidden="1" outlineLevel="1" x14ac:dyDescent="0.2">
      <c r="B138" s="404" t="str">
        <f t="shared" ca="1" si="850"/>
        <v>Пакет "Бизнес", 240x400</v>
      </c>
      <c r="C138" s="649" t="str">
        <f t="shared" ca="1" si="851"/>
        <v>Пакет</v>
      </c>
      <c r="D138" s="405">
        <f t="shared" ca="1" si="852"/>
        <v>500</v>
      </c>
      <c r="E138" s="405">
        <f t="shared" ca="1" si="853"/>
        <v>500</v>
      </c>
      <c r="F138" s="405">
        <f t="shared" ca="1" si="854"/>
        <v>500</v>
      </c>
      <c r="G138" s="406">
        <f t="shared" ca="1" si="855"/>
        <v>250000</v>
      </c>
      <c r="H138" s="406">
        <f t="shared" ca="1" si="856"/>
        <v>250000</v>
      </c>
      <c r="I138" s="406">
        <f t="shared" ca="1" si="857"/>
        <v>0</v>
      </c>
      <c r="J138" s="407">
        <f t="shared" ca="1" si="858"/>
        <v>0</v>
      </c>
      <c r="K138" s="617"/>
      <c r="L138" s="618"/>
      <c r="M138" s="618"/>
      <c r="N138" s="618"/>
      <c r="O138" s="618"/>
      <c r="P138" s="618"/>
      <c r="Q138" s="618"/>
      <c r="R138" s="618"/>
      <c r="S138" s="618"/>
      <c r="T138" s="618"/>
      <c r="U138" s="618"/>
      <c r="V138" s="619"/>
      <c r="W138" s="406">
        <f t="shared" ca="1" si="832"/>
        <v>0</v>
      </c>
      <c r="X138" s="406"/>
      <c r="Y138" s="411"/>
      <c r="Z138" s="412">
        <f t="shared" si="859"/>
        <v>0</v>
      </c>
      <c r="AA138" s="620"/>
      <c r="AB138" s="620"/>
      <c r="AC138" s="620"/>
      <c r="AD138" s="620"/>
      <c r="AE138" s="620"/>
      <c r="AF138" s="620"/>
      <c r="AG138" s="620"/>
      <c r="AH138" s="620"/>
      <c r="AI138" s="620"/>
      <c r="AJ138" s="620"/>
      <c r="AK138" s="620"/>
      <c r="AL138" s="620"/>
      <c r="AM138" s="621"/>
      <c r="AN138" s="351" t="s">
        <v>126</v>
      </c>
      <c r="AO138" s="351" t="str">
        <f t="shared" si="833"/>
        <v>Newsru.com</v>
      </c>
      <c r="AP138" s="115">
        <f t="shared" si="409"/>
        <v>9</v>
      </c>
      <c r="AQ138" s="31" t="str">
        <f t="shared" ca="1" si="860"/>
        <v>Вкл</v>
      </c>
      <c r="AR138" s="31" t="str">
        <f t="shared" ca="1" si="860"/>
        <v>-</v>
      </c>
      <c r="AS138" s="35">
        <v>0</v>
      </c>
      <c r="AT138" s="229">
        <v>0</v>
      </c>
      <c r="AU138" s="344">
        <f t="shared" ca="1" si="861"/>
        <v>500</v>
      </c>
      <c r="AV138" s="345">
        <f t="shared" ca="1" si="862"/>
        <v>500</v>
      </c>
      <c r="AW138" s="346">
        <f t="shared" ca="1" si="863"/>
        <v>500</v>
      </c>
      <c r="AX138" s="280"/>
      <c r="AY138" s="280"/>
      <c r="AZ138" s="347">
        <f t="shared" ca="1" si="864"/>
        <v>250000</v>
      </c>
      <c r="BA138" s="348">
        <f t="shared" ca="1" si="865"/>
        <v>250000</v>
      </c>
      <c r="BB138" s="347">
        <f t="shared" ca="1" si="866"/>
        <v>500</v>
      </c>
      <c r="BC138" s="37" t="str">
        <f t="shared" ca="1" si="866"/>
        <v>Пакет</v>
      </c>
      <c r="BD138" s="229" t="str">
        <f t="shared" ca="1" si="867"/>
        <v>Пакет</v>
      </c>
      <c r="BE138" s="283">
        <f t="shared" ca="1" si="834"/>
        <v>0</v>
      </c>
      <c r="BF138" s="347">
        <f t="array" aca="1" ref="BF138" ca="1">SUM($K138:$V138*$BK138:$BV138)*$AZ138</f>
        <v>0</v>
      </c>
      <c r="BG138" s="347">
        <f t="array" aca="1" ref="BG138" ca="1">SUM($K138:$V138*$BY138:$CJ138*$BK138:$BV138)*$AZ138*$BX138</f>
        <v>0</v>
      </c>
      <c r="BH138" s="347">
        <f t="array" aca="1" ref="BH138" ca="1">SUM($K138:$V138*$BY138:$CJ138*$BK138:$BV138)*(1-$BE138)*$AZ138*$BX138</f>
        <v>0</v>
      </c>
      <c r="BI138" s="350">
        <f t="shared" ca="1" si="868"/>
        <v>0</v>
      </c>
      <c r="BJ138" s="275" t="str">
        <f t="shared" ca="1" si="869"/>
        <v>Да</v>
      </c>
      <c r="BK138" s="116">
        <f t="shared" ca="1" si="870"/>
        <v>0.8</v>
      </c>
      <c r="BL138" s="117">
        <f t="shared" ca="1" si="870"/>
        <v>0.9</v>
      </c>
      <c r="BM138" s="117">
        <f t="shared" ca="1" si="870"/>
        <v>1</v>
      </c>
      <c r="BN138" s="117">
        <f t="shared" ca="1" si="870"/>
        <v>1</v>
      </c>
      <c r="BO138" s="117">
        <f t="shared" ca="1" si="870"/>
        <v>1</v>
      </c>
      <c r="BP138" s="117">
        <f t="shared" ca="1" si="870"/>
        <v>1</v>
      </c>
      <c r="BQ138" s="117">
        <f t="shared" ca="1" si="870"/>
        <v>0.9</v>
      </c>
      <c r="BR138" s="117">
        <f t="shared" ca="1" si="870"/>
        <v>0.9</v>
      </c>
      <c r="BS138" s="117">
        <f t="shared" ca="1" si="870"/>
        <v>1.3</v>
      </c>
      <c r="BT138" s="117">
        <f t="shared" ca="1" si="870"/>
        <v>1.3</v>
      </c>
      <c r="BU138" s="117">
        <f t="shared" ca="1" si="870"/>
        <v>1.3</v>
      </c>
      <c r="BV138" s="278">
        <f t="shared" ca="1" si="870"/>
        <v>1.3</v>
      </c>
      <c r="BW138" s="280">
        <f t="shared" si="835"/>
        <v>3</v>
      </c>
      <c r="BX138" s="118">
        <f>IF($AN138="Ya",100%,100%+extraDelayZ)</f>
        <v>1</v>
      </c>
      <c r="BY138" s="263">
        <f t="shared" si="871"/>
        <v>1</v>
      </c>
      <c r="BZ138" s="264">
        <f t="shared" si="872"/>
        <v>1</v>
      </c>
      <c r="CA138" s="264">
        <f t="shared" si="873"/>
        <v>1</v>
      </c>
      <c r="CB138" s="264">
        <f t="shared" si="874"/>
        <v>1</v>
      </c>
      <c r="CC138" s="264">
        <f t="shared" si="875"/>
        <v>1</v>
      </c>
      <c r="CD138" s="264">
        <f t="shared" si="876"/>
        <v>1</v>
      </c>
      <c r="CE138" s="264">
        <f t="shared" si="877"/>
        <v>1</v>
      </c>
      <c r="CF138" s="264">
        <f t="shared" si="878"/>
        <v>1</v>
      </c>
      <c r="CG138" s="264">
        <f t="shared" si="879"/>
        <v>1</v>
      </c>
      <c r="CH138" s="264">
        <f t="shared" si="880"/>
        <v>1</v>
      </c>
      <c r="CI138" s="264">
        <f t="shared" si="881"/>
        <v>1</v>
      </c>
      <c r="CJ138" s="265">
        <f t="shared" si="882"/>
        <v>1</v>
      </c>
      <c r="CK138" s="269">
        <f t="array" ref="CK138">IF(ISERROR(SUM($K138:$V138*$BY138:$CJ138)/SUM($K138:$V138)),1,SUM($K138:$V138*$BY138:$CJ138)/SUM($K138:$V138))-1</f>
        <v>0</v>
      </c>
      <c r="CL138" s="234"/>
    </row>
    <row r="139" spans="1:90" ht="12.75" hidden="1" outlineLevel="1" x14ac:dyDescent="0.2">
      <c r="B139" s="404" t="str">
        <f t="shared" ca="1" si="850"/>
        <v>Пакет "Москва", 240x400</v>
      </c>
      <c r="C139" s="649" t="str">
        <f t="shared" ca="1" si="851"/>
        <v>Пакет</v>
      </c>
      <c r="D139" s="405">
        <f t="shared" ca="1" si="852"/>
        <v>600</v>
      </c>
      <c r="E139" s="405">
        <f t="shared" ca="1" si="853"/>
        <v>600</v>
      </c>
      <c r="F139" s="405">
        <f t="shared" ca="1" si="854"/>
        <v>600</v>
      </c>
      <c r="G139" s="406">
        <f t="shared" ca="1" si="855"/>
        <v>300000</v>
      </c>
      <c r="H139" s="406">
        <f t="shared" ca="1" si="856"/>
        <v>300000</v>
      </c>
      <c r="I139" s="406">
        <f t="shared" ca="1" si="857"/>
        <v>0</v>
      </c>
      <c r="J139" s="407">
        <f t="shared" ca="1" si="858"/>
        <v>0</v>
      </c>
      <c r="K139" s="617"/>
      <c r="L139" s="618"/>
      <c r="M139" s="618"/>
      <c r="N139" s="618"/>
      <c r="O139" s="618"/>
      <c r="P139" s="618"/>
      <c r="Q139" s="618"/>
      <c r="R139" s="618"/>
      <c r="S139" s="618"/>
      <c r="T139" s="618"/>
      <c r="U139" s="618"/>
      <c r="V139" s="619"/>
      <c r="W139" s="406">
        <f t="shared" ca="1" si="832"/>
        <v>0</v>
      </c>
      <c r="X139" s="406"/>
      <c r="Y139" s="411"/>
      <c r="Z139" s="412">
        <f t="shared" si="859"/>
        <v>0</v>
      </c>
      <c r="AA139" s="620"/>
      <c r="AB139" s="620"/>
      <c r="AC139" s="620"/>
      <c r="AD139" s="620"/>
      <c r="AE139" s="620"/>
      <c r="AF139" s="620"/>
      <c r="AG139" s="620"/>
      <c r="AH139" s="620"/>
      <c r="AI139" s="620"/>
      <c r="AJ139" s="620"/>
      <c r="AK139" s="620"/>
      <c r="AL139" s="620"/>
      <c r="AM139" s="621"/>
      <c r="AN139" s="351" t="s">
        <v>126</v>
      </c>
      <c r="AO139" s="351" t="str">
        <f t="shared" si="833"/>
        <v>Newsru.com</v>
      </c>
      <c r="AP139" s="115">
        <f t="shared" ref="AP139:AP202" si="883">COUNTIF($AN$10:$AN$353,$AN139)</f>
        <v>9</v>
      </c>
      <c r="AQ139" s="31" t="str">
        <f t="shared" ca="1" si="860"/>
        <v>Вкл</v>
      </c>
      <c r="AR139" s="31" t="str">
        <f t="shared" ca="1" si="860"/>
        <v>-</v>
      </c>
      <c r="AS139" s="35">
        <v>0</v>
      </c>
      <c r="AT139" s="229">
        <v>0</v>
      </c>
      <c r="AU139" s="344">
        <f t="shared" ca="1" si="861"/>
        <v>600</v>
      </c>
      <c r="AV139" s="345">
        <f t="shared" ca="1" si="862"/>
        <v>600</v>
      </c>
      <c r="AW139" s="346">
        <f t="shared" ca="1" si="863"/>
        <v>600</v>
      </c>
      <c r="AX139" s="280"/>
      <c r="AY139" s="280"/>
      <c r="AZ139" s="347">
        <f t="shared" ca="1" si="864"/>
        <v>300000</v>
      </c>
      <c r="BA139" s="348">
        <f t="shared" ca="1" si="865"/>
        <v>300000</v>
      </c>
      <c r="BB139" s="347">
        <f t="shared" ca="1" si="866"/>
        <v>500</v>
      </c>
      <c r="BC139" s="37" t="str">
        <f t="shared" ca="1" si="866"/>
        <v>Пакет</v>
      </c>
      <c r="BD139" s="229" t="str">
        <f t="shared" ca="1" si="867"/>
        <v>Пакет</v>
      </c>
      <c r="BE139" s="283">
        <f t="shared" ca="1" si="834"/>
        <v>0</v>
      </c>
      <c r="BF139" s="347">
        <f t="array" aca="1" ref="BF139" ca="1">SUM($K139:$V139*$BK139:$BV139)*$AZ139</f>
        <v>0</v>
      </c>
      <c r="BG139" s="347">
        <f t="array" aca="1" ref="BG139" ca="1">SUM($K139:$V139*$BY139:$CJ139*$BK139:$BV139)*$AZ139*$BX139</f>
        <v>0</v>
      </c>
      <c r="BH139" s="347">
        <f t="array" aca="1" ref="BH139" ca="1">SUM($K139:$V139*$BY139:$CJ139*$BK139:$BV139)*(1-$BE139)*$AZ139*$BX139</f>
        <v>0</v>
      </c>
      <c r="BI139" s="350">
        <f t="shared" ca="1" si="868"/>
        <v>0</v>
      </c>
      <c r="BJ139" s="275" t="str">
        <f t="shared" ca="1" si="869"/>
        <v>Да</v>
      </c>
      <c r="BK139" s="116">
        <f t="shared" ca="1" si="870"/>
        <v>0.8</v>
      </c>
      <c r="BL139" s="117">
        <f t="shared" ca="1" si="870"/>
        <v>0.9</v>
      </c>
      <c r="BM139" s="117">
        <f t="shared" ca="1" si="870"/>
        <v>1</v>
      </c>
      <c r="BN139" s="117">
        <f t="shared" ca="1" si="870"/>
        <v>1</v>
      </c>
      <c r="BO139" s="117">
        <f t="shared" ca="1" si="870"/>
        <v>1</v>
      </c>
      <c r="BP139" s="117">
        <f t="shared" ca="1" si="870"/>
        <v>1</v>
      </c>
      <c r="BQ139" s="117">
        <f t="shared" ca="1" si="870"/>
        <v>0.9</v>
      </c>
      <c r="BR139" s="117">
        <f t="shared" ca="1" si="870"/>
        <v>0.9</v>
      </c>
      <c r="BS139" s="117">
        <f t="shared" ca="1" si="870"/>
        <v>1.3</v>
      </c>
      <c r="BT139" s="117">
        <f t="shared" ca="1" si="870"/>
        <v>1.3</v>
      </c>
      <c r="BU139" s="117">
        <f t="shared" ca="1" si="870"/>
        <v>1.3</v>
      </c>
      <c r="BV139" s="278">
        <f t="shared" ca="1" si="870"/>
        <v>1.3</v>
      </c>
      <c r="BW139" s="280">
        <f t="shared" si="835"/>
        <v>4</v>
      </c>
      <c r="BX139" s="118">
        <f>IF($AN139="Ya",100%,100%+extraDelayZ)</f>
        <v>1</v>
      </c>
      <c r="BY139" s="263">
        <f t="shared" si="871"/>
        <v>1</v>
      </c>
      <c r="BZ139" s="264">
        <f t="shared" si="872"/>
        <v>1</v>
      </c>
      <c r="CA139" s="264">
        <f t="shared" si="873"/>
        <v>1</v>
      </c>
      <c r="CB139" s="264">
        <f t="shared" si="874"/>
        <v>1</v>
      </c>
      <c r="CC139" s="264">
        <f t="shared" si="875"/>
        <v>1</v>
      </c>
      <c r="CD139" s="264">
        <f t="shared" si="876"/>
        <v>1</v>
      </c>
      <c r="CE139" s="264">
        <f t="shared" si="877"/>
        <v>1</v>
      </c>
      <c r="CF139" s="264">
        <f t="shared" si="878"/>
        <v>1</v>
      </c>
      <c r="CG139" s="264">
        <f t="shared" si="879"/>
        <v>1</v>
      </c>
      <c r="CH139" s="264">
        <f t="shared" si="880"/>
        <v>1</v>
      </c>
      <c r="CI139" s="264">
        <f t="shared" si="881"/>
        <v>1</v>
      </c>
      <c r="CJ139" s="265">
        <f t="shared" si="882"/>
        <v>1</v>
      </c>
      <c r="CK139" s="269">
        <f t="array" ref="CK139">IF(ISERROR(SUM($K139:$V139*$BY139:$CJ139)/SUM($K139:$V139)),1,SUM($K139:$V139*$BY139:$CJ139)/SUM($K139:$V139))-1</f>
        <v>0</v>
      </c>
      <c r="CL139" s="234"/>
    </row>
    <row r="140" spans="1:90" ht="12.75" hidden="1" outlineLevel="1" x14ac:dyDescent="0.2">
      <c r="B140" s="404" t="str">
        <f t="shared" ca="1" si="850"/>
        <v>Пакет "Питер", 240x400</v>
      </c>
      <c r="C140" s="649" t="str">
        <f t="shared" ca="1" si="851"/>
        <v>Пакет</v>
      </c>
      <c r="D140" s="405">
        <f t="shared" ca="1" si="852"/>
        <v>600</v>
      </c>
      <c r="E140" s="405">
        <f t="shared" ca="1" si="853"/>
        <v>600</v>
      </c>
      <c r="F140" s="405">
        <f t="shared" ca="1" si="854"/>
        <v>600</v>
      </c>
      <c r="G140" s="406">
        <f t="shared" ca="1" si="855"/>
        <v>60000</v>
      </c>
      <c r="H140" s="406">
        <f t="shared" ca="1" si="856"/>
        <v>60000</v>
      </c>
      <c r="I140" s="406">
        <f t="shared" ca="1" si="857"/>
        <v>0</v>
      </c>
      <c r="J140" s="407">
        <f t="shared" ca="1" si="858"/>
        <v>0</v>
      </c>
      <c r="K140" s="617"/>
      <c r="L140" s="618"/>
      <c r="M140" s="618"/>
      <c r="N140" s="618"/>
      <c r="O140" s="618"/>
      <c r="P140" s="618"/>
      <c r="Q140" s="618"/>
      <c r="R140" s="618"/>
      <c r="S140" s="618"/>
      <c r="T140" s="618"/>
      <c r="U140" s="618"/>
      <c r="V140" s="619"/>
      <c r="W140" s="406">
        <f t="shared" ca="1" si="832"/>
        <v>0</v>
      </c>
      <c r="X140" s="406"/>
      <c r="Y140" s="411"/>
      <c r="Z140" s="412">
        <f t="shared" si="859"/>
        <v>0</v>
      </c>
      <c r="AA140" s="620"/>
      <c r="AB140" s="620"/>
      <c r="AC140" s="620"/>
      <c r="AD140" s="620"/>
      <c r="AE140" s="620"/>
      <c r="AF140" s="620"/>
      <c r="AG140" s="620"/>
      <c r="AH140" s="620"/>
      <c r="AI140" s="620"/>
      <c r="AJ140" s="620"/>
      <c r="AK140" s="620"/>
      <c r="AL140" s="620"/>
      <c r="AM140" s="621"/>
      <c r="AN140" s="351" t="s">
        <v>126</v>
      </c>
      <c r="AO140" s="351" t="str">
        <f t="shared" si="833"/>
        <v>Newsru.com</v>
      </c>
      <c r="AP140" s="115">
        <f t="shared" si="883"/>
        <v>9</v>
      </c>
      <c r="AQ140" s="31" t="str">
        <f t="shared" ca="1" si="860"/>
        <v>Вкл</v>
      </c>
      <c r="AR140" s="31" t="str">
        <f t="shared" ca="1" si="860"/>
        <v>-</v>
      </c>
      <c r="AS140" s="35">
        <v>0</v>
      </c>
      <c r="AT140" s="229">
        <v>0</v>
      </c>
      <c r="AU140" s="344">
        <f t="shared" ca="1" si="861"/>
        <v>600</v>
      </c>
      <c r="AV140" s="345">
        <f t="shared" ca="1" si="862"/>
        <v>600</v>
      </c>
      <c r="AW140" s="346">
        <f t="shared" ca="1" si="863"/>
        <v>600</v>
      </c>
      <c r="AX140" s="280"/>
      <c r="AY140" s="280"/>
      <c r="AZ140" s="347">
        <f t="shared" ca="1" si="864"/>
        <v>60000</v>
      </c>
      <c r="BA140" s="348">
        <f t="shared" ca="1" si="865"/>
        <v>60000</v>
      </c>
      <c r="BB140" s="347">
        <f t="shared" ca="1" si="866"/>
        <v>100</v>
      </c>
      <c r="BC140" s="37" t="str">
        <f t="shared" ca="1" si="866"/>
        <v>Пакет</v>
      </c>
      <c r="BD140" s="229" t="str">
        <f t="shared" ca="1" si="867"/>
        <v>Пакет</v>
      </c>
      <c r="BE140" s="283">
        <f t="shared" ca="1" si="834"/>
        <v>0</v>
      </c>
      <c r="BF140" s="347">
        <f t="array" aca="1" ref="BF140" ca="1">SUM($K140:$V140*$BK140:$BV140)*$AZ140</f>
        <v>0</v>
      </c>
      <c r="BG140" s="347">
        <f t="array" aca="1" ref="BG140" ca="1">SUM($K140:$V140*$BY140:$CJ140*$BK140:$BV140)*$AZ140*$BX140</f>
        <v>0</v>
      </c>
      <c r="BH140" s="347">
        <f t="array" aca="1" ref="BH140" ca="1">SUM($K140:$V140*$BY140:$CJ140*$BK140:$BV140)*(1-$BE140)*$AZ140*$BX140</f>
        <v>0</v>
      </c>
      <c r="BI140" s="350">
        <f t="shared" ca="1" si="868"/>
        <v>0</v>
      </c>
      <c r="BJ140" s="275" t="str">
        <f t="shared" ca="1" si="869"/>
        <v>Да</v>
      </c>
      <c r="BK140" s="116">
        <f t="shared" ca="1" si="870"/>
        <v>0.8</v>
      </c>
      <c r="BL140" s="117">
        <f t="shared" ca="1" si="870"/>
        <v>0.9</v>
      </c>
      <c r="BM140" s="117">
        <f t="shared" ca="1" si="870"/>
        <v>1</v>
      </c>
      <c r="BN140" s="117">
        <f t="shared" ca="1" si="870"/>
        <v>1</v>
      </c>
      <c r="BO140" s="117">
        <f t="shared" ca="1" si="870"/>
        <v>1</v>
      </c>
      <c r="BP140" s="117">
        <f t="shared" ca="1" si="870"/>
        <v>1</v>
      </c>
      <c r="BQ140" s="117">
        <f t="shared" ca="1" si="870"/>
        <v>0.9</v>
      </c>
      <c r="BR140" s="117">
        <f t="shared" ca="1" si="870"/>
        <v>0.9</v>
      </c>
      <c r="BS140" s="117">
        <f t="shared" ca="1" si="870"/>
        <v>1.3</v>
      </c>
      <c r="BT140" s="117">
        <f t="shared" ca="1" si="870"/>
        <v>1.3</v>
      </c>
      <c r="BU140" s="117">
        <f t="shared" ca="1" si="870"/>
        <v>1.3</v>
      </c>
      <c r="BV140" s="278">
        <f t="shared" ca="1" si="870"/>
        <v>1.3</v>
      </c>
      <c r="BW140" s="280">
        <f t="shared" si="835"/>
        <v>5</v>
      </c>
      <c r="BX140" s="118">
        <f>IF($AN140="Ya",100%,100%+extraDelayZ)</f>
        <v>1</v>
      </c>
      <c r="BY140" s="263">
        <f t="shared" si="871"/>
        <v>1</v>
      </c>
      <c r="BZ140" s="264">
        <f t="shared" si="872"/>
        <v>1</v>
      </c>
      <c r="CA140" s="264">
        <f t="shared" si="873"/>
        <v>1</v>
      </c>
      <c r="CB140" s="264">
        <f t="shared" si="874"/>
        <v>1</v>
      </c>
      <c r="CC140" s="264">
        <f t="shared" si="875"/>
        <v>1</v>
      </c>
      <c r="CD140" s="264">
        <f t="shared" si="876"/>
        <v>1</v>
      </c>
      <c r="CE140" s="264">
        <f t="shared" si="877"/>
        <v>1</v>
      </c>
      <c r="CF140" s="264">
        <f t="shared" si="878"/>
        <v>1</v>
      </c>
      <c r="CG140" s="264">
        <f t="shared" si="879"/>
        <v>1</v>
      </c>
      <c r="CH140" s="264">
        <f t="shared" si="880"/>
        <v>1</v>
      </c>
      <c r="CI140" s="264">
        <f t="shared" si="881"/>
        <v>1</v>
      </c>
      <c r="CJ140" s="265">
        <f t="shared" si="882"/>
        <v>1</v>
      </c>
      <c r="CK140" s="269">
        <f t="array" ref="CK140">IF(ISERROR(SUM($K140:$V140*$BY140:$CJ140)/SUM($K140:$V140)),1,SUM($K140:$V140*$BY140:$CJ140)/SUM($K140:$V140))-1</f>
        <v>0</v>
      </c>
      <c r="CL140" s="234"/>
    </row>
    <row r="141" spans="1:90" ht="12.75" hidden="1" outlineLevel="1" x14ac:dyDescent="0.2">
      <c r="B141" s="404" t="str">
        <f t="shared" ca="1" si="850"/>
        <v>Кросс-Пакет "Охват 3100К", 240x400</v>
      </c>
      <c r="C141" s="649" t="str">
        <f t="shared" ca="1" si="851"/>
        <v>Пакет</v>
      </c>
      <c r="D141" s="405">
        <f t="shared" ca="1" si="852"/>
        <v>250</v>
      </c>
      <c r="E141" s="405">
        <f t="shared" ca="1" si="853"/>
        <v>250</v>
      </c>
      <c r="F141" s="405">
        <f t="shared" ca="1" si="854"/>
        <v>250</v>
      </c>
      <c r="G141" s="406">
        <f t="shared" ca="1" si="855"/>
        <v>775000</v>
      </c>
      <c r="H141" s="406">
        <f t="shared" ca="1" si="856"/>
        <v>775000</v>
      </c>
      <c r="I141" s="406">
        <f t="shared" ca="1" si="857"/>
        <v>0</v>
      </c>
      <c r="J141" s="407">
        <f t="shared" ca="1" si="858"/>
        <v>0</v>
      </c>
      <c r="K141" s="617"/>
      <c r="L141" s="618"/>
      <c r="M141" s="618"/>
      <c r="N141" s="618"/>
      <c r="O141" s="618"/>
      <c r="P141" s="618"/>
      <c r="Q141" s="618"/>
      <c r="R141" s="618"/>
      <c r="S141" s="618"/>
      <c r="T141" s="618"/>
      <c r="U141" s="618"/>
      <c r="V141" s="619"/>
      <c r="W141" s="406">
        <f t="shared" ca="1" si="832"/>
        <v>0</v>
      </c>
      <c r="X141" s="406"/>
      <c r="Y141" s="411"/>
      <c r="Z141" s="412">
        <f t="shared" si="859"/>
        <v>0</v>
      </c>
      <c r="AA141" s="620"/>
      <c r="AB141" s="620"/>
      <c r="AC141" s="620"/>
      <c r="AD141" s="620"/>
      <c r="AE141" s="620"/>
      <c r="AF141" s="620"/>
      <c r="AG141" s="620"/>
      <c r="AH141" s="620"/>
      <c r="AI141" s="620"/>
      <c r="AJ141" s="620"/>
      <c r="AK141" s="620"/>
      <c r="AL141" s="620"/>
      <c r="AM141" s="621"/>
      <c r="AN141" s="351" t="s">
        <v>126</v>
      </c>
      <c r="AO141" s="351" t="str">
        <f t="shared" si="833"/>
        <v>Newsru.com</v>
      </c>
      <c r="AP141" s="115">
        <f t="shared" si="883"/>
        <v>9</v>
      </c>
      <c r="AQ141" s="31" t="str">
        <f t="shared" ca="1" si="860"/>
        <v>-</v>
      </c>
      <c r="AR141" s="31" t="str">
        <f t="shared" ca="1" si="860"/>
        <v>-</v>
      </c>
      <c r="AS141" s="35">
        <v>0</v>
      </c>
      <c r="AT141" s="229">
        <v>0</v>
      </c>
      <c r="AU141" s="344">
        <f t="shared" ca="1" si="861"/>
        <v>250</v>
      </c>
      <c r="AV141" s="345">
        <f t="shared" ca="1" si="862"/>
        <v>250</v>
      </c>
      <c r="AW141" s="346">
        <f t="shared" ca="1" si="863"/>
        <v>250</v>
      </c>
      <c r="AX141" s="280"/>
      <c r="AY141" s="280"/>
      <c r="AZ141" s="347">
        <f t="shared" ca="1" si="864"/>
        <v>775000</v>
      </c>
      <c r="BA141" s="348">
        <f t="shared" ca="1" si="865"/>
        <v>775000</v>
      </c>
      <c r="BB141" s="347">
        <f t="shared" ca="1" si="866"/>
        <v>3100</v>
      </c>
      <c r="BC141" s="37" t="str">
        <f t="shared" ca="1" si="866"/>
        <v>Пакет</v>
      </c>
      <c r="BD141" s="229" t="str">
        <f t="shared" ca="1" si="867"/>
        <v>Пакет</v>
      </c>
      <c r="BE141" s="283">
        <f t="shared" ca="1" si="834"/>
        <v>0</v>
      </c>
      <c r="BF141" s="347">
        <f t="array" aca="1" ref="BF141" ca="1">SUM($K141:$V141*$BK141:$BV141)*$AZ141</f>
        <v>0</v>
      </c>
      <c r="BG141" s="347">
        <f t="array" aca="1" ref="BG141" ca="1">SUM($K141:$V141*$BY141:$CJ141*$BK141:$BV141)*$AZ141*$BX141</f>
        <v>0</v>
      </c>
      <c r="BH141" s="347">
        <f t="array" aca="1" ref="BH141" ca="1">SUM($K141:$V141*$BY141:$CJ141*$BK141:$BV141)*(1-$BE141)*$AZ141*$BX141</f>
        <v>0</v>
      </c>
      <c r="BI141" s="350">
        <f t="shared" ca="1" si="868"/>
        <v>0</v>
      </c>
      <c r="BJ141" s="275" t="str">
        <f t="shared" ca="1" si="869"/>
        <v>Да</v>
      </c>
      <c r="BK141" s="116">
        <f t="shared" ca="1" si="870"/>
        <v>0.8</v>
      </c>
      <c r="BL141" s="117">
        <f t="shared" ca="1" si="870"/>
        <v>0.9</v>
      </c>
      <c r="BM141" s="117">
        <f t="shared" ca="1" si="870"/>
        <v>1</v>
      </c>
      <c r="BN141" s="117">
        <f t="shared" ca="1" si="870"/>
        <v>1</v>
      </c>
      <c r="BO141" s="117">
        <f t="shared" ca="1" si="870"/>
        <v>1</v>
      </c>
      <c r="BP141" s="117">
        <f t="shared" ca="1" si="870"/>
        <v>1</v>
      </c>
      <c r="BQ141" s="117">
        <f t="shared" ca="1" si="870"/>
        <v>0.9</v>
      </c>
      <c r="BR141" s="117">
        <f t="shared" ca="1" si="870"/>
        <v>0.9</v>
      </c>
      <c r="BS141" s="117">
        <f t="shared" ca="1" si="870"/>
        <v>1.3</v>
      </c>
      <c r="BT141" s="117">
        <f t="shared" ca="1" si="870"/>
        <v>1.3</v>
      </c>
      <c r="BU141" s="117">
        <f t="shared" ca="1" si="870"/>
        <v>1.3</v>
      </c>
      <c r="BV141" s="278">
        <f t="shared" ca="1" si="870"/>
        <v>1.3</v>
      </c>
      <c r="BW141" s="280">
        <f t="shared" si="835"/>
        <v>6</v>
      </c>
      <c r="BX141" s="118">
        <f>IF($AN141="Ya",100%,100%+extraDelayZ)</f>
        <v>1</v>
      </c>
      <c r="BY141" s="263">
        <f t="shared" si="871"/>
        <v>1</v>
      </c>
      <c r="BZ141" s="264">
        <f t="shared" si="872"/>
        <v>1</v>
      </c>
      <c r="CA141" s="264">
        <f t="shared" si="873"/>
        <v>1</v>
      </c>
      <c r="CB141" s="264">
        <f t="shared" si="874"/>
        <v>1</v>
      </c>
      <c r="CC141" s="264">
        <f t="shared" si="875"/>
        <v>1</v>
      </c>
      <c r="CD141" s="264">
        <f t="shared" si="876"/>
        <v>1</v>
      </c>
      <c r="CE141" s="264">
        <f t="shared" si="877"/>
        <v>1</v>
      </c>
      <c r="CF141" s="264">
        <f t="shared" si="878"/>
        <v>1</v>
      </c>
      <c r="CG141" s="264">
        <f t="shared" si="879"/>
        <v>1</v>
      </c>
      <c r="CH141" s="264">
        <f t="shared" si="880"/>
        <v>1</v>
      </c>
      <c r="CI141" s="264">
        <f t="shared" si="881"/>
        <v>1</v>
      </c>
      <c r="CJ141" s="265">
        <f t="shared" si="882"/>
        <v>1</v>
      </c>
      <c r="CK141" s="269">
        <f t="array" ref="CK141">IF(ISERROR(SUM($K141:$V141*$BY141:$CJ141)/SUM($K141:$V141)),1,SUM($K141:$V141*$BY141:$CJ141)/SUM($K141:$V141))-1</f>
        <v>0</v>
      </c>
      <c r="CL141" s="234"/>
    </row>
    <row r="142" spans="1:90" ht="12.75" hidden="1" outlineLevel="1" x14ac:dyDescent="0.2">
      <c r="B142" s="404" t="str">
        <f t="shared" ca="1" si="850"/>
        <v>Кросс-Пакет "Бизнес", 240х400</v>
      </c>
      <c r="C142" s="649" t="str">
        <f t="shared" ca="1" si="851"/>
        <v>Пакет</v>
      </c>
      <c r="D142" s="405">
        <f t="shared" ca="1" si="852"/>
        <v>350</v>
      </c>
      <c r="E142" s="405">
        <f t="shared" ca="1" si="853"/>
        <v>350</v>
      </c>
      <c r="F142" s="405">
        <f t="shared" ca="1" si="854"/>
        <v>350</v>
      </c>
      <c r="G142" s="406">
        <f t="shared" ca="1" si="855"/>
        <v>525000</v>
      </c>
      <c r="H142" s="406">
        <f t="shared" ca="1" si="856"/>
        <v>525000</v>
      </c>
      <c r="I142" s="406">
        <f t="shared" ca="1" si="857"/>
        <v>0</v>
      </c>
      <c r="J142" s="407">
        <f t="shared" ca="1" si="858"/>
        <v>0</v>
      </c>
      <c r="K142" s="617"/>
      <c r="L142" s="618"/>
      <c r="M142" s="618"/>
      <c r="N142" s="618"/>
      <c r="O142" s="618"/>
      <c r="P142" s="618"/>
      <c r="Q142" s="618"/>
      <c r="R142" s="618"/>
      <c r="S142" s="618"/>
      <c r="T142" s="618"/>
      <c r="U142" s="618"/>
      <c r="V142" s="619"/>
      <c r="W142" s="406">
        <f t="shared" ca="1" si="832"/>
        <v>0</v>
      </c>
      <c r="X142" s="406"/>
      <c r="Y142" s="411"/>
      <c r="Z142" s="412">
        <f t="shared" si="859"/>
        <v>0</v>
      </c>
      <c r="AA142" s="620"/>
      <c r="AB142" s="620"/>
      <c r="AC142" s="620"/>
      <c r="AD142" s="620"/>
      <c r="AE142" s="620"/>
      <c r="AF142" s="620"/>
      <c r="AG142" s="620"/>
      <c r="AH142" s="620"/>
      <c r="AI142" s="620"/>
      <c r="AJ142" s="620"/>
      <c r="AK142" s="620"/>
      <c r="AL142" s="620"/>
      <c r="AM142" s="621"/>
      <c r="AN142" s="351" t="s">
        <v>126</v>
      </c>
      <c r="AO142" s="351" t="str">
        <f t="shared" si="833"/>
        <v>Newsru.com</v>
      </c>
      <c r="AP142" s="115">
        <f t="shared" si="883"/>
        <v>9</v>
      </c>
      <c r="AQ142" s="31" t="str">
        <f t="shared" ca="1" si="860"/>
        <v>Вкл</v>
      </c>
      <c r="AR142" s="31" t="str">
        <f t="shared" ca="1" si="860"/>
        <v>-</v>
      </c>
      <c r="AS142" s="35">
        <v>0</v>
      </c>
      <c r="AT142" s="229">
        <v>0</v>
      </c>
      <c r="AU142" s="344">
        <f t="shared" ca="1" si="861"/>
        <v>350</v>
      </c>
      <c r="AV142" s="345">
        <f t="shared" ca="1" si="862"/>
        <v>350</v>
      </c>
      <c r="AW142" s="346">
        <f t="shared" ca="1" si="863"/>
        <v>350</v>
      </c>
      <c r="AX142" s="280"/>
      <c r="AY142" s="280"/>
      <c r="AZ142" s="347">
        <f t="shared" ca="1" si="864"/>
        <v>525000</v>
      </c>
      <c r="BA142" s="348">
        <f t="shared" ca="1" si="865"/>
        <v>525000</v>
      </c>
      <c r="BB142" s="347">
        <f t="shared" ca="1" si="866"/>
        <v>1500</v>
      </c>
      <c r="BC142" s="37" t="str">
        <f t="shared" ca="1" si="866"/>
        <v>Пакет</v>
      </c>
      <c r="BD142" s="229" t="str">
        <f t="shared" ca="1" si="867"/>
        <v>Пакет</v>
      </c>
      <c r="BE142" s="283">
        <f t="shared" ca="1" si="834"/>
        <v>0</v>
      </c>
      <c r="BF142" s="347">
        <f t="array" aca="1" ref="BF142" ca="1">SUM($K142:$V142*$BK142:$BV142)*$AZ142</f>
        <v>0</v>
      </c>
      <c r="BG142" s="347">
        <f t="array" aca="1" ref="BG142" ca="1">SUM($K142:$V142*$BY142:$CJ142*$BK142:$BV142)*$AZ142*$BX142</f>
        <v>0</v>
      </c>
      <c r="BH142" s="347">
        <f t="array" aca="1" ref="BH142" ca="1">SUM($K142:$V142*$BY142:$CJ142*$BK142:$BV142)*(1-$BE142)*$AZ142*$BX142</f>
        <v>0</v>
      </c>
      <c r="BI142" s="350">
        <f t="shared" ca="1" si="868"/>
        <v>0</v>
      </c>
      <c r="BJ142" s="275" t="str">
        <f t="shared" ca="1" si="869"/>
        <v>Да</v>
      </c>
      <c r="BK142" s="116">
        <f t="shared" ca="1" si="870"/>
        <v>0.8</v>
      </c>
      <c r="BL142" s="117">
        <f t="shared" ca="1" si="870"/>
        <v>0.9</v>
      </c>
      <c r="BM142" s="117">
        <f t="shared" ca="1" si="870"/>
        <v>1</v>
      </c>
      <c r="BN142" s="117">
        <f t="shared" ca="1" si="870"/>
        <v>1</v>
      </c>
      <c r="BO142" s="117">
        <f t="shared" ca="1" si="870"/>
        <v>1</v>
      </c>
      <c r="BP142" s="117">
        <f t="shared" ca="1" si="870"/>
        <v>1</v>
      </c>
      <c r="BQ142" s="117">
        <f t="shared" ca="1" si="870"/>
        <v>0.9</v>
      </c>
      <c r="BR142" s="117">
        <f t="shared" ca="1" si="870"/>
        <v>0.9</v>
      </c>
      <c r="BS142" s="117">
        <f t="shared" ca="1" si="870"/>
        <v>1.3</v>
      </c>
      <c r="BT142" s="117">
        <f t="shared" ca="1" si="870"/>
        <v>1.3</v>
      </c>
      <c r="BU142" s="117">
        <f t="shared" ca="1" si="870"/>
        <v>1.3</v>
      </c>
      <c r="BV142" s="278">
        <f t="shared" ca="1" si="870"/>
        <v>1.3</v>
      </c>
      <c r="BW142" s="280">
        <f t="shared" si="835"/>
        <v>7</v>
      </c>
      <c r="BX142" s="118">
        <f>IF($AN142="Ya",100%,100%+extraDelayZ)</f>
        <v>1</v>
      </c>
      <c r="BY142" s="263">
        <f t="shared" si="871"/>
        <v>1</v>
      </c>
      <c r="BZ142" s="264">
        <f t="shared" si="872"/>
        <v>1</v>
      </c>
      <c r="CA142" s="264">
        <f t="shared" si="873"/>
        <v>1</v>
      </c>
      <c r="CB142" s="264">
        <f t="shared" si="874"/>
        <v>1</v>
      </c>
      <c r="CC142" s="264">
        <f t="shared" si="875"/>
        <v>1</v>
      </c>
      <c r="CD142" s="264">
        <f t="shared" si="876"/>
        <v>1</v>
      </c>
      <c r="CE142" s="264">
        <f t="shared" si="877"/>
        <v>1</v>
      </c>
      <c r="CF142" s="264">
        <f t="shared" si="878"/>
        <v>1</v>
      </c>
      <c r="CG142" s="264">
        <f t="shared" si="879"/>
        <v>1</v>
      </c>
      <c r="CH142" s="264">
        <f t="shared" si="880"/>
        <v>1</v>
      </c>
      <c r="CI142" s="264">
        <f t="shared" si="881"/>
        <v>1</v>
      </c>
      <c r="CJ142" s="265">
        <f t="shared" si="882"/>
        <v>1</v>
      </c>
      <c r="CK142" s="269">
        <f t="array" ref="CK142">IF(ISERROR(SUM($K142:$V142*$BY142:$CJ142)/SUM($K142:$V142)),1,SUM($K142:$V142*$BY142:$CJ142)/SUM($K142:$V142))-1</f>
        <v>0</v>
      </c>
      <c r="CL142" s="234"/>
    </row>
    <row r="143" spans="1:90" ht="12.75" hidden="1" outlineLevel="1" x14ac:dyDescent="0.2">
      <c r="B143" s="404" t="str">
        <f t="shared" ca="1" si="850"/>
        <v>Кросс-Пакет "Москва", 240x400</v>
      </c>
      <c r="C143" s="649" t="str">
        <f t="shared" ca="1" si="851"/>
        <v>Пакет</v>
      </c>
      <c r="D143" s="405">
        <f t="shared" ca="1" si="852"/>
        <v>416</v>
      </c>
      <c r="E143" s="405">
        <f t="shared" ca="1" si="853"/>
        <v>416</v>
      </c>
      <c r="F143" s="405">
        <f t="shared" ca="1" si="854"/>
        <v>416</v>
      </c>
      <c r="G143" s="406">
        <f t="shared" ca="1" si="855"/>
        <v>520000</v>
      </c>
      <c r="H143" s="406">
        <f t="shared" ca="1" si="856"/>
        <v>520000</v>
      </c>
      <c r="I143" s="406">
        <f t="shared" ca="1" si="857"/>
        <v>0</v>
      </c>
      <c r="J143" s="407">
        <f t="shared" ca="1" si="858"/>
        <v>0</v>
      </c>
      <c r="K143" s="617"/>
      <c r="L143" s="618"/>
      <c r="M143" s="618"/>
      <c r="N143" s="618"/>
      <c r="O143" s="618"/>
      <c r="P143" s="618"/>
      <c r="Q143" s="618"/>
      <c r="R143" s="618"/>
      <c r="S143" s="618"/>
      <c r="T143" s="618"/>
      <c r="U143" s="618"/>
      <c r="V143" s="619"/>
      <c r="W143" s="406">
        <f t="shared" ca="1" si="832"/>
        <v>0</v>
      </c>
      <c r="X143" s="406"/>
      <c r="Y143" s="411"/>
      <c r="Z143" s="412">
        <f t="shared" si="859"/>
        <v>0</v>
      </c>
      <c r="AA143" s="620"/>
      <c r="AB143" s="620"/>
      <c r="AC143" s="620"/>
      <c r="AD143" s="620"/>
      <c r="AE143" s="620"/>
      <c r="AF143" s="620"/>
      <c r="AG143" s="620"/>
      <c r="AH143" s="620"/>
      <c r="AI143" s="620"/>
      <c r="AJ143" s="620"/>
      <c r="AK143" s="620"/>
      <c r="AL143" s="620"/>
      <c r="AM143" s="621"/>
      <c r="AN143" s="351" t="s">
        <v>126</v>
      </c>
      <c r="AO143" s="351" t="str">
        <f t="shared" si="833"/>
        <v>Newsru.com</v>
      </c>
      <c r="AP143" s="115">
        <f t="shared" si="883"/>
        <v>9</v>
      </c>
      <c r="AQ143" s="31" t="str">
        <f t="shared" ca="1" si="860"/>
        <v>Вкл</v>
      </c>
      <c r="AR143" s="31" t="str">
        <f t="shared" ca="1" si="860"/>
        <v>-</v>
      </c>
      <c r="AS143" s="35">
        <v>0</v>
      </c>
      <c r="AT143" s="229">
        <v>0</v>
      </c>
      <c r="AU143" s="344">
        <f t="shared" ca="1" si="861"/>
        <v>416</v>
      </c>
      <c r="AV143" s="345">
        <f t="shared" ca="1" si="862"/>
        <v>416</v>
      </c>
      <c r="AW143" s="346">
        <f t="shared" ca="1" si="863"/>
        <v>416</v>
      </c>
      <c r="AX143" s="280"/>
      <c r="AY143" s="280"/>
      <c r="AZ143" s="347">
        <f t="shared" ca="1" si="864"/>
        <v>520000</v>
      </c>
      <c r="BA143" s="348">
        <f t="shared" ca="1" si="865"/>
        <v>520000</v>
      </c>
      <c r="BB143" s="347">
        <f t="shared" ca="1" si="866"/>
        <v>1250</v>
      </c>
      <c r="BC143" s="37" t="str">
        <f t="shared" ca="1" si="866"/>
        <v>Пакет</v>
      </c>
      <c r="BD143" s="229" t="str">
        <f t="shared" ca="1" si="867"/>
        <v>Пакет</v>
      </c>
      <c r="BE143" s="283">
        <f t="shared" ca="1" si="834"/>
        <v>0</v>
      </c>
      <c r="BF143" s="347">
        <f t="array" aca="1" ref="BF143" ca="1">SUM($K143:$V143*$BK143:$BV143)*$AZ143</f>
        <v>0</v>
      </c>
      <c r="BG143" s="347">
        <f t="array" aca="1" ref="BG143" ca="1">SUM($K143:$V143*$BY143:$CJ143*$BK143:$BV143)*$AZ143*$BX143</f>
        <v>0</v>
      </c>
      <c r="BH143" s="347">
        <f t="array" aca="1" ref="BH143" ca="1">SUM($K143:$V143*$BY143:$CJ143*$BK143:$BV143)*(1-$BE143)*$AZ143*$BX143</f>
        <v>0</v>
      </c>
      <c r="BI143" s="350">
        <f t="shared" ca="1" si="868"/>
        <v>0</v>
      </c>
      <c r="BJ143" s="275" t="str">
        <f t="shared" ca="1" si="869"/>
        <v>Да</v>
      </c>
      <c r="BK143" s="116">
        <f t="shared" ca="1" si="870"/>
        <v>0.8</v>
      </c>
      <c r="BL143" s="117">
        <f t="shared" ca="1" si="870"/>
        <v>0.9</v>
      </c>
      <c r="BM143" s="117">
        <f t="shared" ca="1" si="870"/>
        <v>1</v>
      </c>
      <c r="BN143" s="117">
        <f t="shared" ca="1" si="870"/>
        <v>1</v>
      </c>
      <c r="BO143" s="117">
        <f t="shared" ca="1" si="870"/>
        <v>1</v>
      </c>
      <c r="BP143" s="117">
        <f t="shared" ca="1" si="870"/>
        <v>1</v>
      </c>
      <c r="BQ143" s="117">
        <f t="shared" ca="1" si="870"/>
        <v>0.9</v>
      </c>
      <c r="BR143" s="117">
        <f t="shared" ca="1" si="870"/>
        <v>0.9</v>
      </c>
      <c r="BS143" s="117">
        <f t="shared" ca="1" si="870"/>
        <v>1.3</v>
      </c>
      <c r="BT143" s="117">
        <f t="shared" ca="1" si="870"/>
        <v>1.3</v>
      </c>
      <c r="BU143" s="117">
        <f t="shared" ca="1" si="870"/>
        <v>1.3</v>
      </c>
      <c r="BV143" s="278">
        <f t="shared" ca="1" si="870"/>
        <v>1.3</v>
      </c>
      <c r="BW143" s="280">
        <f t="shared" si="835"/>
        <v>8</v>
      </c>
      <c r="BX143" s="118">
        <f>IF($AN143="Ya",100%,100%+extraDelayZ)</f>
        <v>1</v>
      </c>
      <c r="BY143" s="263">
        <f t="shared" si="871"/>
        <v>1</v>
      </c>
      <c r="BZ143" s="264">
        <f t="shared" si="872"/>
        <v>1</v>
      </c>
      <c r="CA143" s="264">
        <f t="shared" si="873"/>
        <v>1</v>
      </c>
      <c r="CB143" s="264">
        <f t="shared" si="874"/>
        <v>1</v>
      </c>
      <c r="CC143" s="264">
        <f t="shared" si="875"/>
        <v>1</v>
      </c>
      <c r="CD143" s="264">
        <f t="shared" si="876"/>
        <v>1</v>
      </c>
      <c r="CE143" s="264">
        <f t="shared" si="877"/>
        <v>1</v>
      </c>
      <c r="CF143" s="264">
        <f t="shared" si="878"/>
        <v>1</v>
      </c>
      <c r="CG143" s="264">
        <f t="shared" si="879"/>
        <v>1</v>
      </c>
      <c r="CH143" s="264">
        <f t="shared" si="880"/>
        <v>1</v>
      </c>
      <c r="CI143" s="264">
        <f t="shared" si="881"/>
        <v>1</v>
      </c>
      <c r="CJ143" s="265">
        <f t="shared" si="882"/>
        <v>1</v>
      </c>
      <c r="CK143" s="269">
        <f t="array" ref="CK143">IF(ISERROR(SUM($K143:$V143*$BY143:$CJ143)/SUM($K143:$V143)),1,SUM($K143:$V143*$BY143:$CJ143)/SUM($K143:$V143))-1</f>
        <v>0</v>
      </c>
      <c r="CL143" s="234"/>
    </row>
    <row r="144" spans="1:90" ht="12.75" hidden="1" outlineLevel="1" x14ac:dyDescent="0.2">
      <c r="B144" s="414" t="str">
        <f t="shared" ca="1" si="850"/>
        <v>Кросс-Пакет "Питер", 240x400</v>
      </c>
      <c r="C144" s="649" t="str">
        <f t="shared" ca="1" si="851"/>
        <v>Пакет</v>
      </c>
      <c r="D144" s="415">
        <f t="shared" ca="1" si="852"/>
        <v>360</v>
      </c>
      <c r="E144" s="415">
        <f t="shared" ca="1" si="853"/>
        <v>360</v>
      </c>
      <c r="F144" s="415">
        <f t="shared" ca="1" si="854"/>
        <v>360</v>
      </c>
      <c r="G144" s="416">
        <f t="shared" ca="1" si="855"/>
        <v>90000</v>
      </c>
      <c r="H144" s="416">
        <f t="shared" ca="1" si="856"/>
        <v>90000</v>
      </c>
      <c r="I144" s="406">
        <f t="shared" ca="1" si="857"/>
        <v>0</v>
      </c>
      <c r="J144" s="407">
        <f t="shared" ca="1" si="858"/>
        <v>0</v>
      </c>
      <c r="K144" s="622"/>
      <c r="L144" s="623"/>
      <c r="M144" s="623"/>
      <c r="N144" s="623"/>
      <c r="O144" s="623"/>
      <c r="P144" s="623"/>
      <c r="Q144" s="623"/>
      <c r="R144" s="623"/>
      <c r="S144" s="623"/>
      <c r="T144" s="623"/>
      <c r="U144" s="623"/>
      <c r="V144" s="624"/>
      <c r="W144" s="416">
        <f t="shared" ca="1" si="832"/>
        <v>0</v>
      </c>
      <c r="X144" s="416"/>
      <c r="Y144" s="420"/>
      <c r="Z144" s="412">
        <f t="shared" si="859"/>
        <v>0</v>
      </c>
      <c r="AA144" s="625"/>
      <c r="AB144" s="625"/>
      <c r="AC144" s="625"/>
      <c r="AD144" s="625"/>
      <c r="AE144" s="625"/>
      <c r="AF144" s="625"/>
      <c r="AG144" s="625"/>
      <c r="AH144" s="625"/>
      <c r="AI144" s="625"/>
      <c r="AJ144" s="625"/>
      <c r="AK144" s="625"/>
      <c r="AL144" s="625"/>
      <c r="AM144" s="626"/>
      <c r="AN144" s="351" t="s">
        <v>126</v>
      </c>
      <c r="AO144" s="351" t="str">
        <f t="shared" si="833"/>
        <v>Newsru.com</v>
      </c>
      <c r="AP144" s="115">
        <f t="shared" si="883"/>
        <v>9</v>
      </c>
      <c r="AQ144" s="31" t="str">
        <f t="shared" ca="1" si="860"/>
        <v>Вкл</v>
      </c>
      <c r="AR144" s="31" t="str">
        <f t="shared" ca="1" si="860"/>
        <v>-</v>
      </c>
      <c r="AS144" s="35">
        <v>0</v>
      </c>
      <c r="AT144" s="229">
        <v>0</v>
      </c>
      <c r="AU144" s="344">
        <f t="shared" ca="1" si="861"/>
        <v>360</v>
      </c>
      <c r="AV144" s="345">
        <f t="shared" ca="1" si="862"/>
        <v>360</v>
      </c>
      <c r="AW144" s="346">
        <f t="shared" ca="1" si="863"/>
        <v>360</v>
      </c>
      <c r="AX144" s="280"/>
      <c r="AY144" s="280"/>
      <c r="AZ144" s="347">
        <f t="shared" ca="1" si="864"/>
        <v>90000</v>
      </c>
      <c r="BA144" s="348">
        <f t="shared" ca="1" si="865"/>
        <v>90000</v>
      </c>
      <c r="BB144" s="347">
        <f t="shared" ca="1" si="866"/>
        <v>250</v>
      </c>
      <c r="BC144" s="37" t="str">
        <f t="shared" ca="1" si="866"/>
        <v>Пакет</v>
      </c>
      <c r="BD144" s="229" t="str">
        <f t="shared" ca="1" si="867"/>
        <v>Пакет</v>
      </c>
      <c r="BE144" s="283">
        <f t="shared" ca="1" si="834"/>
        <v>0</v>
      </c>
      <c r="BF144" s="347">
        <f t="array" aca="1" ref="BF144" ca="1">SUM($K144:$V144*$BK144:$BV144)*$AZ144</f>
        <v>0</v>
      </c>
      <c r="BG144" s="347">
        <f t="array" aca="1" ref="BG144" ca="1">SUM($K144:$V144*$BY144:$CJ144*$BK144:$BV144)*$AZ144*$BX144</f>
        <v>0</v>
      </c>
      <c r="BH144" s="347">
        <f t="array" aca="1" ref="BH144" ca="1">SUM($K144:$V144*$BY144:$CJ144*$BK144:$BV144)*(1-$BE144)*$AZ144*$BX144</f>
        <v>0</v>
      </c>
      <c r="BI144" s="350">
        <f t="shared" ca="1" si="868"/>
        <v>0</v>
      </c>
      <c r="BJ144" s="275" t="str">
        <f t="shared" ca="1" si="869"/>
        <v>Да</v>
      </c>
      <c r="BK144" s="116">
        <f t="shared" ca="1" si="870"/>
        <v>0.8</v>
      </c>
      <c r="BL144" s="117">
        <f t="shared" ca="1" si="870"/>
        <v>0.9</v>
      </c>
      <c r="BM144" s="117">
        <f t="shared" ca="1" si="870"/>
        <v>1</v>
      </c>
      <c r="BN144" s="117">
        <f t="shared" ca="1" si="870"/>
        <v>1</v>
      </c>
      <c r="BO144" s="117">
        <f t="shared" ca="1" si="870"/>
        <v>1</v>
      </c>
      <c r="BP144" s="117">
        <f t="shared" ca="1" si="870"/>
        <v>1</v>
      </c>
      <c r="BQ144" s="117">
        <f t="shared" ca="1" si="870"/>
        <v>0.9</v>
      </c>
      <c r="BR144" s="117">
        <f t="shared" ca="1" si="870"/>
        <v>0.9</v>
      </c>
      <c r="BS144" s="117">
        <f t="shared" ca="1" si="870"/>
        <v>1.3</v>
      </c>
      <c r="BT144" s="117">
        <f t="shared" ca="1" si="870"/>
        <v>1.3</v>
      </c>
      <c r="BU144" s="117">
        <f t="shared" ca="1" si="870"/>
        <v>1.3</v>
      </c>
      <c r="BV144" s="278">
        <f t="shared" ca="1" si="870"/>
        <v>1.3</v>
      </c>
      <c r="BW144" s="280">
        <f t="shared" si="835"/>
        <v>9</v>
      </c>
      <c r="BX144" s="118">
        <f>IF($AN144="Ya",100%,100%+extraDelayZ)</f>
        <v>1</v>
      </c>
      <c r="BY144" s="263">
        <f t="shared" si="871"/>
        <v>1</v>
      </c>
      <c r="BZ144" s="264">
        <f t="shared" si="872"/>
        <v>1</v>
      </c>
      <c r="CA144" s="264">
        <f t="shared" si="873"/>
        <v>1</v>
      </c>
      <c r="CB144" s="264">
        <f t="shared" si="874"/>
        <v>1</v>
      </c>
      <c r="CC144" s="264">
        <f t="shared" si="875"/>
        <v>1</v>
      </c>
      <c r="CD144" s="264">
        <f t="shared" si="876"/>
        <v>1</v>
      </c>
      <c r="CE144" s="264">
        <f t="shared" si="877"/>
        <v>1</v>
      </c>
      <c r="CF144" s="264">
        <f t="shared" si="878"/>
        <v>1</v>
      </c>
      <c r="CG144" s="264">
        <f t="shared" si="879"/>
        <v>1</v>
      </c>
      <c r="CH144" s="264">
        <f t="shared" si="880"/>
        <v>1</v>
      </c>
      <c r="CI144" s="264">
        <f t="shared" si="881"/>
        <v>1</v>
      </c>
      <c r="CJ144" s="265">
        <f t="shared" si="882"/>
        <v>1</v>
      </c>
      <c r="CK144" s="269">
        <f t="array" ref="CK144">IF(ISERROR(SUM($K144:$V144*$BY144:$CJ144)/SUM($K144:$V144)),1,SUM($K144:$V144*$BY144:$CJ144)/SUM($K144:$V144))-1</f>
        <v>0</v>
      </c>
      <c r="CL144" s="234"/>
    </row>
    <row r="145" spans="1:90" ht="15" collapsed="1" x14ac:dyDescent="0.2">
      <c r="A145" s="391"/>
      <c r="B145" s="392" t="str">
        <f>CONCATENATE($AO145,IF($AX145&gt;0,CONCATENATE("  (план ",TEXT(INDEX(indBudX,MATCH($AN145,indPrefixX,0)),"# ##0")," руб.)"),""))</f>
        <v>WMJ.ru</v>
      </c>
      <c r="C145" s="650" t="s">
        <v>363</v>
      </c>
      <c r="D145" s="393"/>
      <c r="E145" s="394"/>
      <c r="F145" s="394"/>
      <c r="G145" s="395"/>
      <c r="H145" s="395"/>
      <c r="I145" s="395">
        <f t="shared" ref="I145" ca="1" si="884">$BG145</f>
        <v>0</v>
      </c>
      <c r="J145" s="396">
        <f ca="1">$BH145</f>
        <v>0</v>
      </c>
      <c r="K145" s="397"/>
      <c r="L145" s="398"/>
      <c r="M145" s="398"/>
      <c r="N145" s="398"/>
      <c r="O145" s="398"/>
      <c r="P145" s="398"/>
      <c r="Q145" s="398"/>
      <c r="R145" s="398"/>
      <c r="S145" s="398"/>
      <c r="T145" s="398"/>
      <c r="U145" s="398"/>
      <c r="V145" s="399"/>
      <c r="W145" s="395">
        <f t="shared" ca="1" si="832"/>
        <v>0</v>
      </c>
      <c r="X145" s="576"/>
      <c r="Y145" s="400">
        <f ca="1">$BE145</f>
        <v>0</v>
      </c>
      <c r="Z145" s="401"/>
      <c r="AA145" s="402"/>
      <c r="AB145" s="402"/>
      <c r="AC145" s="402"/>
      <c r="AD145" s="402"/>
      <c r="AE145" s="402"/>
      <c r="AF145" s="402"/>
      <c r="AG145" s="402"/>
      <c r="AH145" s="402"/>
      <c r="AI145" s="402"/>
      <c r="AJ145" s="402"/>
      <c r="AK145" s="402"/>
      <c r="AL145" s="402"/>
      <c r="AM145" s="403"/>
      <c r="AN145" s="130" t="s">
        <v>161</v>
      </c>
      <c r="AO145" s="130" t="str">
        <f t="shared" si="833"/>
        <v>WMJ.ru</v>
      </c>
      <c r="AP145" s="119">
        <f t="shared" si="883"/>
        <v>12</v>
      </c>
      <c r="AQ145" s="120"/>
      <c r="AR145" s="120"/>
      <c r="AS145" s="121"/>
      <c r="AT145" s="228"/>
      <c r="AU145" s="232"/>
      <c r="AV145" s="179"/>
      <c r="AW145" s="233"/>
      <c r="AX145" s="279">
        <f>IF(ISERROR(INDEX(indBudX,MATCH($AN145,indPrefixX,0))),0,INDEX(indBudX,MATCH($AN145,indPrefixX,0)))</f>
        <v>0</v>
      </c>
      <c r="AY145" s="279">
        <f>IF(ISNUMBER($X145),$X145,0)</f>
        <v>0</v>
      </c>
      <c r="AZ145" s="123"/>
      <c r="BA145" s="125"/>
      <c r="BB145" s="123"/>
      <c r="BC145" s="124"/>
      <c r="BD145" s="464"/>
      <c r="BE145" s="282">
        <f t="shared" ca="1" si="834"/>
        <v>0</v>
      </c>
      <c r="BF145" s="123">
        <f t="shared" ref="BF145:BI145" ca="1" si="885">SUM(OFFSET(BF145,1,0,$AP145-1,1))</f>
        <v>0</v>
      </c>
      <c r="BG145" s="123">
        <f t="shared" ca="1" si="885"/>
        <v>0</v>
      </c>
      <c r="BH145" s="123">
        <f t="shared" ca="1" si="885"/>
        <v>0</v>
      </c>
      <c r="BI145" s="273">
        <f t="shared" ca="1" si="885"/>
        <v>0</v>
      </c>
      <c r="BJ145" s="274"/>
      <c r="BK145" s="126"/>
      <c r="BL145" s="127"/>
      <c r="BM145" s="127"/>
      <c r="BN145" s="127"/>
      <c r="BO145" s="127"/>
      <c r="BP145" s="127"/>
      <c r="BQ145" s="127"/>
      <c r="BR145" s="127"/>
      <c r="BS145" s="127"/>
      <c r="BT145" s="127"/>
      <c r="BU145" s="127"/>
      <c r="BV145" s="277"/>
      <c r="BW145" s="279">
        <f t="shared" si="835"/>
        <v>1</v>
      </c>
      <c r="BX145" s="128"/>
      <c r="BY145" s="260"/>
      <c r="BZ145" s="261"/>
      <c r="CA145" s="261"/>
      <c r="CB145" s="261"/>
      <c r="CC145" s="261"/>
      <c r="CD145" s="261"/>
      <c r="CE145" s="261"/>
      <c r="CF145" s="261"/>
      <c r="CG145" s="261"/>
      <c r="CH145" s="261"/>
      <c r="CI145" s="261"/>
      <c r="CJ145" s="262"/>
      <c r="CK145" s="270"/>
      <c r="CL145" s="234"/>
    </row>
    <row r="146" spans="1:90" ht="12.75" hidden="1" outlineLevel="1" x14ac:dyDescent="0.2">
      <c r="B146" s="404" t="str">
        <f t="shared" ref="B146:B156" ca="1" si="886">INDEX(INDIRECT(LOWER($AN146)&amp;"Price"),$BW146,2)</f>
        <v>Пакет "Охват 500К", 300х300</v>
      </c>
      <c r="C146" s="649" t="str">
        <f t="shared" ref="C146:C156" ca="1" si="887">$BD146</f>
        <v>Пакет</v>
      </c>
      <c r="D146" s="405">
        <f t="shared" ref="D146:D156" ca="1" si="888">$AU146</f>
        <v>350</v>
      </c>
      <c r="E146" s="405">
        <f t="shared" ref="E146:E156" ca="1" si="889">$AV146</f>
        <v>350</v>
      </c>
      <c r="F146" s="405">
        <f t="shared" ref="F146:F156" ca="1" si="890">$AW146</f>
        <v>350</v>
      </c>
      <c r="G146" s="406">
        <f t="shared" ref="G146:G156" ca="1" si="891">$AZ146</f>
        <v>175000</v>
      </c>
      <c r="H146" s="406">
        <f t="shared" ref="H146:H156" ca="1" si="892">$BA146</f>
        <v>175000</v>
      </c>
      <c r="I146" s="406">
        <f t="shared" ref="I146:I157" ca="1" si="893">$BG146</f>
        <v>0</v>
      </c>
      <c r="J146" s="407">
        <f t="shared" ref="J146:J156" ca="1" si="894">$BH146</f>
        <v>0</v>
      </c>
      <c r="K146" s="408"/>
      <c r="L146" s="409"/>
      <c r="M146" s="409"/>
      <c r="N146" s="409"/>
      <c r="O146" s="409"/>
      <c r="P146" s="409"/>
      <c r="Q146" s="409"/>
      <c r="R146" s="409"/>
      <c r="S146" s="409"/>
      <c r="T146" s="409"/>
      <c r="U146" s="409"/>
      <c r="V146" s="410"/>
      <c r="W146" s="406">
        <f t="shared" ca="1" si="832"/>
        <v>0</v>
      </c>
      <c r="X146" s="406"/>
      <c r="Y146" s="411"/>
      <c r="Z146" s="412">
        <f t="shared" ref="Z146:Z156" si="895">CK146</f>
        <v>0</v>
      </c>
      <c r="AA146" s="413"/>
      <c r="AB146" s="413"/>
      <c r="AC146" s="413"/>
      <c r="AD146" s="413"/>
      <c r="AE146" s="413"/>
      <c r="AF146" s="413"/>
      <c r="AG146" s="413"/>
      <c r="AH146" s="413"/>
      <c r="AI146" s="413"/>
      <c r="AJ146" s="413"/>
      <c r="AK146" s="413"/>
      <c r="AL146" s="413"/>
      <c r="AM146" s="572"/>
      <c r="AN146" s="351" t="s">
        <v>161</v>
      </c>
      <c r="AO146" s="351" t="str">
        <f t="shared" si="833"/>
        <v>WMJ.ru</v>
      </c>
      <c r="AP146" s="115">
        <f t="shared" si="883"/>
        <v>12</v>
      </c>
      <c r="AQ146" s="31">
        <f t="shared" ref="AQ146:AR156" ca="1" si="896">HLOOKUP(AQ$10,INDIRECT(LOWER($AN146)&amp;"Price"),$BW146,FALSE)</f>
        <v>0.25</v>
      </c>
      <c r="AR146" s="31" t="str">
        <f t="shared" ca="1" si="896"/>
        <v>-</v>
      </c>
      <c r="AS146" s="35">
        <v>0</v>
      </c>
      <c r="AT146" s="229">
        <v>0</v>
      </c>
      <c r="AU146" s="344">
        <f t="shared" ref="AU146:AU156" ca="1" si="897">HLOOKUP(AU$10,INDIRECT(LOWER($AN146)&amp;"Price"),$BW146,FALSE)</f>
        <v>350</v>
      </c>
      <c r="AV146" s="345">
        <f t="shared" ref="AV146:AV156" ca="1" si="898">IF(ISERROR($BG146/$BI146),$AU146,$BG146/$BI146)</f>
        <v>350</v>
      </c>
      <c r="AW146" s="346">
        <f t="shared" ref="AW146:AW156" ca="1" si="899">$AV146*(1-$BE146)</f>
        <v>350</v>
      </c>
      <c r="AX146" s="280"/>
      <c r="AY146" s="280"/>
      <c r="AZ146" s="347">
        <f t="shared" ref="AZ146:AZ156" ca="1" si="900">HLOOKUP(AZ$10,INDIRECT(LOWER($AN146)&amp;"Price"),$BW146,FALSE)</f>
        <v>175000</v>
      </c>
      <c r="BA146" s="348">
        <f t="shared" ref="BA146:BA156" ca="1" si="901">$AZ146*(1-$BE146)</f>
        <v>175000</v>
      </c>
      <c r="BB146" s="347">
        <f t="shared" ref="BB146:BC156" ca="1" si="902">HLOOKUP(BB$10,INDIRECT(LOWER($AN146)&amp;"Price"),$BW146,FALSE)</f>
        <v>500</v>
      </c>
      <c r="BC146" s="37" t="str">
        <f t="shared" ca="1" si="902"/>
        <v>Пакет</v>
      </c>
      <c r="BD146" s="229" t="str">
        <f t="shared" ref="BD146:BD156" ca="1" si="903">IF(ISERROR(VLOOKUP($BC146,typeIndexPair,2,FALSE)),"",VLOOKUP($BC146,typeIndexPair,2,FALSE))</f>
        <v>Пакет</v>
      </c>
      <c r="BE146" s="283">
        <f t="shared" ca="1" si="834"/>
        <v>0</v>
      </c>
      <c r="BF146" s="347">
        <f t="array" aca="1" ref="BF146" ca="1">SUM($K146:$V146*$BK146:$BV146)*$AZ146</f>
        <v>0</v>
      </c>
      <c r="BG146" s="347">
        <f t="array" aca="1" ref="BG146" ca="1">SUM($K146:$V146*$BY146:$CJ146*$BK146:$BV146)*$AZ146*$BX146</f>
        <v>0</v>
      </c>
      <c r="BH146" s="347">
        <f t="array" aca="1" ref="BH146" ca="1">SUM($K146:$V146*$BY146:$CJ146*$BK146:$BV146)*(1-$BE146)*$AZ146*$BX146</f>
        <v>0</v>
      </c>
      <c r="BI146" s="350">
        <f t="shared" ref="BI146:BI156" ca="1" si="904">SUM($K146:$V146)*$BB146</f>
        <v>0</v>
      </c>
      <c r="BJ146" s="275" t="str">
        <f t="shared" ref="BJ146:BJ156" ca="1" si="905">IF(ISERROR(HLOOKUP(BJ$10,INDIRECT(LOWER($AN146)&amp;"Price"),$BW146,FALSE)),"Да",HLOOKUP(BJ$10,INDIRECT(LOWER($AN146)&amp;"Price"),$BW146,FALSE))</f>
        <v>Да</v>
      </c>
      <c r="BK146" s="116">
        <f t="shared" ref="BK146:BV156" ca="1" si="906">IF($BJ146="Особ.",INDEX(INDIRECT(LOWER($AN146)&amp;"Season2"),BK$9),IF($BJ146="Да",INDEX(INDIRECT(LOWER($AN146)&amp;"Season"),BK$9),100%))</f>
        <v>0.8</v>
      </c>
      <c r="BL146" s="117">
        <f t="shared" ca="1" si="906"/>
        <v>0.9</v>
      </c>
      <c r="BM146" s="117">
        <f t="shared" ca="1" si="906"/>
        <v>1</v>
      </c>
      <c r="BN146" s="117">
        <f t="shared" ca="1" si="906"/>
        <v>1</v>
      </c>
      <c r="BO146" s="117">
        <f t="shared" ca="1" si="906"/>
        <v>1</v>
      </c>
      <c r="BP146" s="117">
        <f t="shared" ca="1" si="906"/>
        <v>1</v>
      </c>
      <c r="BQ146" s="117">
        <f t="shared" ca="1" si="906"/>
        <v>0.9</v>
      </c>
      <c r="BR146" s="117">
        <f t="shared" ca="1" si="906"/>
        <v>0.9</v>
      </c>
      <c r="BS146" s="117">
        <f t="shared" ca="1" si="906"/>
        <v>1.3</v>
      </c>
      <c r="BT146" s="117">
        <f t="shared" ca="1" si="906"/>
        <v>1.3</v>
      </c>
      <c r="BU146" s="117">
        <f t="shared" ca="1" si="906"/>
        <v>1.3</v>
      </c>
      <c r="BV146" s="278">
        <f t="shared" ca="1" si="906"/>
        <v>1.3</v>
      </c>
      <c r="BW146" s="280">
        <f t="shared" si="835"/>
        <v>2</v>
      </c>
      <c r="BX146" s="118">
        <f>IF($AN146="Ya",100%,100%+extraDelayZ)</f>
        <v>1</v>
      </c>
      <c r="BY146" s="263">
        <f t="shared" ref="BY146:BY156" si="907">(1+AA146)</f>
        <v>1</v>
      </c>
      <c r="BZ146" s="264">
        <f t="shared" ref="BZ146:BZ156" si="908">(1+AB146)</f>
        <v>1</v>
      </c>
      <c r="CA146" s="264">
        <f t="shared" ref="CA146:CA156" si="909">(1+AC146)</f>
        <v>1</v>
      </c>
      <c r="CB146" s="264">
        <f t="shared" ref="CB146:CB156" si="910">(1+AD146)</f>
        <v>1</v>
      </c>
      <c r="CC146" s="264">
        <f t="shared" ref="CC146:CC156" si="911">(1+AE146)</f>
        <v>1</v>
      </c>
      <c r="CD146" s="264">
        <f t="shared" ref="CD146:CD156" si="912">(1+AF146)</f>
        <v>1</v>
      </c>
      <c r="CE146" s="264">
        <f t="shared" ref="CE146:CE156" si="913">(1+AG146)</f>
        <v>1</v>
      </c>
      <c r="CF146" s="264">
        <f t="shared" ref="CF146:CF156" si="914">(1+AH146)</f>
        <v>1</v>
      </c>
      <c r="CG146" s="264">
        <f t="shared" ref="CG146:CG156" si="915">(1+AI146)</f>
        <v>1</v>
      </c>
      <c r="CH146" s="264">
        <f t="shared" ref="CH146:CH156" si="916">(1+AJ146)</f>
        <v>1</v>
      </c>
      <c r="CI146" s="264">
        <f t="shared" ref="CI146:CI156" si="917">(1+AK146)</f>
        <v>1</v>
      </c>
      <c r="CJ146" s="265">
        <f t="shared" ref="CJ146:CJ156" si="918">(1+AL146)</f>
        <v>1</v>
      </c>
      <c r="CK146" s="269">
        <f t="array" ref="CK146">IF(ISERROR(SUM($K146:$V146*$BY146:$CJ146)/SUM($K146:$V146)),1,SUM($K146:$V146*$BY146:$CJ146)/SUM($K146:$V146))-1</f>
        <v>0</v>
      </c>
      <c r="CL146" s="234"/>
    </row>
    <row r="147" spans="1:90" ht="12.75" hidden="1" outlineLevel="1" x14ac:dyDescent="0.2">
      <c r="B147" s="404" t="str">
        <f t="shared" ca="1" si="886"/>
        <v>Пакет "Охват 1000К", 300х300</v>
      </c>
      <c r="C147" s="649" t="str">
        <f t="shared" ca="1" si="887"/>
        <v>Пакет</v>
      </c>
      <c r="D147" s="405">
        <f t="shared" ca="1" si="888"/>
        <v>300</v>
      </c>
      <c r="E147" s="405">
        <f t="shared" ca="1" si="889"/>
        <v>300</v>
      </c>
      <c r="F147" s="405">
        <f t="shared" ca="1" si="890"/>
        <v>300</v>
      </c>
      <c r="G147" s="406">
        <f t="shared" ca="1" si="891"/>
        <v>300000</v>
      </c>
      <c r="H147" s="406">
        <f t="shared" ca="1" si="892"/>
        <v>300000</v>
      </c>
      <c r="I147" s="406">
        <f t="shared" ca="1" si="893"/>
        <v>0</v>
      </c>
      <c r="J147" s="407">
        <f t="shared" ca="1" si="894"/>
        <v>0</v>
      </c>
      <c r="K147" s="408"/>
      <c r="L147" s="409"/>
      <c r="M147" s="409"/>
      <c r="N147" s="409"/>
      <c r="O147" s="409"/>
      <c r="P147" s="409"/>
      <c r="Q147" s="409"/>
      <c r="R147" s="409"/>
      <c r="S147" s="409"/>
      <c r="T147" s="409"/>
      <c r="U147" s="409"/>
      <c r="V147" s="410"/>
      <c r="W147" s="406">
        <f t="shared" ca="1" si="832"/>
        <v>0</v>
      </c>
      <c r="X147" s="406"/>
      <c r="Y147" s="411"/>
      <c r="Z147" s="412">
        <f t="shared" si="895"/>
        <v>0</v>
      </c>
      <c r="AA147" s="413"/>
      <c r="AB147" s="413"/>
      <c r="AC147" s="413"/>
      <c r="AD147" s="413"/>
      <c r="AE147" s="413"/>
      <c r="AF147" s="413"/>
      <c r="AG147" s="413"/>
      <c r="AH147" s="413"/>
      <c r="AI147" s="413"/>
      <c r="AJ147" s="413"/>
      <c r="AK147" s="413"/>
      <c r="AL147" s="413"/>
      <c r="AM147" s="572"/>
      <c r="AN147" s="351" t="s">
        <v>161</v>
      </c>
      <c r="AO147" s="351" t="str">
        <f t="shared" si="833"/>
        <v>WMJ.ru</v>
      </c>
      <c r="AP147" s="115">
        <f t="shared" si="883"/>
        <v>12</v>
      </c>
      <c r="AQ147" s="31">
        <f t="shared" ca="1" si="896"/>
        <v>0.25</v>
      </c>
      <c r="AR147" s="31" t="str">
        <f t="shared" ca="1" si="896"/>
        <v>-</v>
      </c>
      <c r="AS147" s="35">
        <v>0</v>
      </c>
      <c r="AT147" s="229">
        <v>0</v>
      </c>
      <c r="AU147" s="344">
        <f t="shared" ca="1" si="897"/>
        <v>300</v>
      </c>
      <c r="AV147" s="345">
        <f t="shared" ca="1" si="898"/>
        <v>300</v>
      </c>
      <c r="AW147" s="346">
        <f t="shared" ca="1" si="899"/>
        <v>300</v>
      </c>
      <c r="AX147" s="280"/>
      <c r="AY147" s="280"/>
      <c r="AZ147" s="347">
        <f t="shared" ca="1" si="900"/>
        <v>300000</v>
      </c>
      <c r="BA147" s="348">
        <f t="shared" ca="1" si="901"/>
        <v>300000</v>
      </c>
      <c r="BB147" s="347">
        <f t="shared" ca="1" si="902"/>
        <v>1000</v>
      </c>
      <c r="BC147" s="37" t="str">
        <f t="shared" ca="1" si="902"/>
        <v>Пакет</v>
      </c>
      <c r="BD147" s="229" t="str">
        <f t="shared" ca="1" si="903"/>
        <v>Пакет</v>
      </c>
      <c r="BE147" s="283">
        <f t="shared" ca="1" si="834"/>
        <v>0</v>
      </c>
      <c r="BF147" s="347">
        <f t="array" aca="1" ref="BF147" ca="1">SUM($K147:$V147*$BK147:$BV147)*$AZ147</f>
        <v>0</v>
      </c>
      <c r="BG147" s="347">
        <f t="array" aca="1" ref="BG147" ca="1">SUM($K147:$V147*$BY147:$CJ147*$BK147:$BV147)*$AZ147*$BX147</f>
        <v>0</v>
      </c>
      <c r="BH147" s="347">
        <f t="array" aca="1" ref="BH147" ca="1">SUM($K147:$V147*$BY147:$CJ147*$BK147:$BV147)*(1-$BE147)*$AZ147*$BX147</f>
        <v>0</v>
      </c>
      <c r="BI147" s="350">
        <f t="shared" ca="1" si="904"/>
        <v>0</v>
      </c>
      <c r="BJ147" s="275" t="str">
        <f t="shared" ca="1" si="905"/>
        <v>Да</v>
      </c>
      <c r="BK147" s="116">
        <f t="shared" ca="1" si="906"/>
        <v>0.8</v>
      </c>
      <c r="BL147" s="117">
        <f t="shared" ca="1" si="906"/>
        <v>0.9</v>
      </c>
      <c r="BM147" s="117">
        <f t="shared" ca="1" si="906"/>
        <v>1</v>
      </c>
      <c r="BN147" s="117">
        <f t="shared" ca="1" si="906"/>
        <v>1</v>
      </c>
      <c r="BO147" s="117">
        <f t="shared" ca="1" si="906"/>
        <v>1</v>
      </c>
      <c r="BP147" s="117">
        <f t="shared" ca="1" si="906"/>
        <v>1</v>
      </c>
      <c r="BQ147" s="117">
        <f t="shared" ca="1" si="906"/>
        <v>0.9</v>
      </c>
      <c r="BR147" s="117">
        <f t="shared" ca="1" si="906"/>
        <v>0.9</v>
      </c>
      <c r="BS147" s="117">
        <f t="shared" ca="1" si="906"/>
        <v>1.3</v>
      </c>
      <c r="BT147" s="117">
        <f t="shared" ca="1" si="906"/>
        <v>1.3</v>
      </c>
      <c r="BU147" s="117">
        <f t="shared" ca="1" si="906"/>
        <v>1.3</v>
      </c>
      <c r="BV147" s="278">
        <f t="shared" ca="1" si="906"/>
        <v>1.3</v>
      </c>
      <c r="BW147" s="280">
        <f t="shared" si="835"/>
        <v>3</v>
      </c>
      <c r="BX147" s="118">
        <f>IF($AN147="Ya",100%,100%+extraDelayZ)</f>
        <v>1</v>
      </c>
      <c r="BY147" s="263">
        <f t="shared" si="907"/>
        <v>1</v>
      </c>
      <c r="BZ147" s="264">
        <f t="shared" si="908"/>
        <v>1</v>
      </c>
      <c r="CA147" s="264">
        <f t="shared" si="909"/>
        <v>1</v>
      </c>
      <c r="CB147" s="264">
        <f t="shared" si="910"/>
        <v>1</v>
      </c>
      <c r="CC147" s="264">
        <f t="shared" si="911"/>
        <v>1</v>
      </c>
      <c r="CD147" s="264">
        <f t="shared" si="912"/>
        <v>1</v>
      </c>
      <c r="CE147" s="264">
        <f t="shared" si="913"/>
        <v>1</v>
      </c>
      <c r="CF147" s="264">
        <f t="shared" si="914"/>
        <v>1</v>
      </c>
      <c r="CG147" s="264">
        <f t="shared" si="915"/>
        <v>1</v>
      </c>
      <c r="CH147" s="264">
        <f t="shared" si="916"/>
        <v>1</v>
      </c>
      <c r="CI147" s="264">
        <f t="shared" si="917"/>
        <v>1</v>
      </c>
      <c r="CJ147" s="265">
        <f t="shared" si="918"/>
        <v>1</v>
      </c>
      <c r="CK147" s="269">
        <f t="array" ref="CK147">IF(ISERROR(SUM($K147:$V147*$BY147:$CJ147)/SUM($K147:$V147)),1,SUM($K147:$V147*$BY147:$CJ147)/SUM($K147:$V147))-1</f>
        <v>0</v>
      </c>
      <c r="CL147" s="234"/>
    </row>
    <row r="148" spans="1:90" ht="12.75" hidden="1" outlineLevel="1" x14ac:dyDescent="0.2">
      <c r="B148" s="404" t="str">
        <f t="shared" ca="1" si="886"/>
        <v>Пакет "Охват 2000К", 300х300</v>
      </c>
      <c r="C148" s="649" t="str">
        <f t="shared" ca="1" si="887"/>
        <v>Пакет</v>
      </c>
      <c r="D148" s="405">
        <f t="shared" ca="1" si="888"/>
        <v>250</v>
      </c>
      <c r="E148" s="405">
        <f t="shared" ca="1" si="889"/>
        <v>250</v>
      </c>
      <c r="F148" s="405">
        <f t="shared" ca="1" si="890"/>
        <v>250</v>
      </c>
      <c r="G148" s="406">
        <f t="shared" ca="1" si="891"/>
        <v>500000</v>
      </c>
      <c r="H148" s="406">
        <f t="shared" ca="1" si="892"/>
        <v>500000</v>
      </c>
      <c r="I148" s="406">
        <f t="shared" ca="1" si="893"/>
        <v>0</v>
      </c>
      <c r="J148" s="407">
        <f t="shared" ca="1" si="894"/>
        <v>0</v>
      </c>
      <c r="K148" s="408"/>
      <c r="L148" s="409"/>
      <c r="M148" s="409"/>
      <c r="N148" s="409"/>
      <c r="O148" s="409"/>
      <c r="P148" s="409"/>
      <c r="Q148" s="409"/>
      <c r="R148" s="409"/>
      <c r="S148" s="409"/>
      <c r="T148" s="409"/>
      <c r="U148" s="409"/>
      <c r="V148" s="410"/>
      <c r="W148" s="406">
        <f t="shared" ca="1" si="832"/>
        <v>0</v>
      </c>
      <c r="X148" s="406"/>
      <c r="Y148" s="411"/>
      <c r="Z148" s="412">
        <f t="shared" si="895"/>
        <v>0</v>
      </c>
      <c r="AA148" s="413"/>
      <c r="AB148" s="413"/>
      <c r="AC148" s="413"/>
      <c r="AD148" s="413"/>
      <c r="AE148" s="413"/>
      <c r="AF148" s="413"/>
      <c r="AG148" s="413"/>
      <c r="AH148" s="413"/>
      <c r="AI148" s="413"/>
      <c r="AJ148" s="413"/>
      <c r="AK148" s="413"/>
      <c r="AL148" s="413"/>
      <c r="AM148" s="572"/>
      <c r="AN148" s="351" t="s">
        <v>161</v>
      </c>
      <c r="AO148" s="351" t="str">
        <f t="shared" si="833"/>
        <v>WMJ.ru</v>
      </c>
      <c r="AP148" s="115">
        <f t="shared" si="883"/>
        <v>12</v>
      </c>
      <c r="AQ148" s="31">
        <f t="shared" ca="1" si="896"/>
        <v>0.25</v>
      </c>
      <c r="AR148" s="31" t="str">
        <f t="shared" ca="1" si="896"/>
        <v>-</v>
      </c>
      <c r="AS148" s="35">
        <v>0</v>
      </c>
      <c r="AT148" s="229">
        <v>0</v>
      </c>
      <c r="AU148" s="344">
        <f t="shared" ca="1" si="897"/>
        <v>250</v>
      </c>
      <c r="AV148" s="345">
        <f t="shared" ca="1" si="898"/>
        <v>250</v>
      </c>
      <c r="AW148" s="346">
        <f t="shared" ca="1" si="899"/>
        <v>250</v>
      </c>
      <c r="AX148" s="280"/>
      <c r="AY148" s="280"/>
      <c r="AZ148" s="347">
        <f t="shared" ca="1" si="900"/>
        <v>500000</v>
      </c>
      <c r="BA148" s="348">
        <f t="shared" ca="1" si="901"/>
        <v>500000</v>
      </c>
      <c r="BB148" s="347">
        <f t="shared" ca="1" si="902"/>
        <v>2000</v>
      </c>
      <c r="BC148" s="37" t="str">
        <f t="shared" ca="1" si="902"/>
        <v>Пакет</v>
      </c>
      <c r="BD148" s="229" t="str">
        <f t="shared" ca="1" si="903"/>
        <v>Пакет</v>
      </c>
      <c r="BE148" s="283">
        <f t="shared" ca="1" si="834"/>
        <v>0</v>
      </c>
      <c r="BF148" s="347">
        <f t="array" aca="1" ref="BF148" ca="1">SUM($K148:$V148*$BK148:$BV148)*$AZ148</f>
        <v>0</v>
      </c>
      <c r="BG148" s="347">
        <f t="array" aca="1" ref="BG148" ca="1">SUM($K148:$V148*$BY148:$CJ148*$BK148:$BV148)*$AZ148*$BX148</f>
        <v>0</v>
      </c>
      <c r="BH148" s="347">
        <f t="array" aca="1" ref="BH148" ca="1">SUM($K148:$V148*$BY148:$CJ148*$BK148:$BV148)*(1-$BE148)*$AZ148*$BX148</f>
        <v>0</v>
      </c>
      <c r="BI148" s="350">
        <f t="shared" ca="1" si="904"/>
        <v>0</v>
      </c>
      <c r="BJ148" s="275" t="str">
        <f t="shared" ca="1" si="905"/>
        <v>Да</v>
      </c>
      <c r="BK148" s="116">
        <f t="shared" ca="1" si="906"/>
        <v>0.8</v>
      </c>
      <c r="BL148" s="117">
        <f t="shared" ca="1" si="906"/>
        <v>0.9</v>
      </c>
      <c r="BM148" s="117">
        <f t="shared" ca="1" si="906"/>
        <v>1</v>
      </c>
      <c r="BN148" s="117">
        <f t="shared" ca="1" si="906"/>
        <v>1</v>
      </c>
      <c r="BO148" s="117">
        <f t="shared" ca="1" si="906"/>
        <v>1</v>
      </c>
      <c r="BP148" s="117">
        <f t="shared" ca="1" si="906"/>
        <v>1</v>
      </c>
      <c r="BQ148" s="117">
        <f t="shared" ca="1" si="906"/>
        <v>0.9</v>
      </c>
      <c r="BR148" s="117">
        <f t="shared" ca="1" si="906"/>
        <v>0.9</v>
      </c>
      <c r="BS148" s="117">
        <f t="shared" ca="1" si="906"/>
        <v>1.3</v>
      </c>
      <c r="BT148" s="117">
        <f t="shared" ca="1" si="906"/>
        <v>1.3</v>
      </c>
      <c r="BU148" s="117">
        <f t="shared" ca="1" si="906"/>
        <v>1.3</v>
      </c>
      <c r="BV148" s="278">
        <f t="shared" ca="1" si="906"/>
        <v>1.3</v>
      </c>
      <c r="BW148" s="280">
        <f t="shared" si="835"/>
        <v>4</v>
      </c>
      <c r="BX148" s="118">
        <f>IF($AN148="Ya",100%,100%+extraDelayZ)</f>
        <v>1</v>
      </c>
      <c r="BY148" s="263">
        <f t="shared" si="907"/>
        <v>1</v>
      </c>
      <c r="BZ148" s="264">
        <f t="shared" si="908"/>
        <v>1</v>
      </c>
      <c r="CA148" s="264">
        <f t="shared" si="909"/>
        <v>1</v>
      </c>
      <c r="CB148" s="264">
        <f t="shared" si="910"/>
        <v>1</v>
      </c>
      <c r="CC148" s="264">
        <f t="shared" si="911"/>
        <v>1</v>
      </c>
      <c r="CD148" s="264">
        <f t="shared" si="912"/>
        <v>1</v>
      </c>
      <c r="CE148" s="264">
        <f t="shared" si="913"/>
        <v>1</v>
      </c>
      <c r="CF148" s="264">
        <f t="shared" si="914"/>
        <v>1</v>
      </c>
      <c r="CG148" s="264">
        <f t="shared" si="915"/>
        <v>1</v>
      </c>
      <c r="CH148" s="264">
        <f t="shared" si="916"/>
        <v>1</v>
      </c>
      <c r="CI148" s="264">
        <f t="shared" si="917"/>
        <v>1</v>
      </c>
      <c r="CJ148" s="265">
        <f t="shared" si="918"/>
        <v>1</v>
      </c>
      <c r="CK148" s="269">
        <f t="array" ref="CK148">IF(ISERROR(SUM($K148:$V148*$BY148:$CJ148)/SUM($K148:$V148)),1,SUM($K148:$V148*$BY148:$CJ148)/SUM($K148:$V148))-1</f>
        <v>0</v>
      </c>
      <c r="CL148" s="234"/>
    </row>
    <row r="149" spans="1:90" ht="12.75" hidden="1" outlineLevel="1" x14ac:dyDescent="0.2">
      <c r="B149" s="404" t="str">
        <f t="shared" ca="1" si="886"/>
        <v>Пакет "Охват 500К", 100%х90</v>
      </c>
      <c r="C149" s="649" t="str">
        <f t="shared" ca="1" si="887"/>
        <v>Пакет</v>
      </c>
      <c r="D149" s="405">
        <f t="shared" ca="1" si="888"/>
        <v>280</v>
      </c>
      <c r="E149" s="405">
        <f t="shared" ca="1" si="889"/>
        <v>280</v>
      </c>
      <c r="F149" s="405">
        <f t="shared" ca="1" si="890"/>
        <v>280</v>
      </c>
      <c r="G149" s="406">
        <f t="shared" ca="1" si="891"/>
        <v>140000</v>
      </c>
      <c r="H149" s="406">
        <f t="shared" ca="1" si="892"/>
        <v>140000</v>
      </c>
      <c r="I149" s="406">
        <f t="shared" ca="1" si="893"/>
        <v>0</v>
      </c>
      <c r="J149" s="407">
        <f t="shared" ca="1" si="894"/>
        <v>0</v>
      </c>
      <c r="K149" s="408"/>
      <c r="L149" s="409"/>
      <c r="M149" s="409"/>
      <c r="N149" s="409"/>
      <c r="O149" s="409"/>
      <c r="P149" s="409"/>
      <c r="Q149" s="409"/>
      <c r="R149" s="409"/>
      <c r="S149" s="409"/>
      <c r="T149" s="409"/>
      <c r="U149" s="409"/>
      <c r="V149" s="410"/>
      <c r="W149" s="406">
        <f t="shared" ca="1" si="832"/>
        <v>0</v>
      </c>
      <c r="X149" s="406"/>
      <c r="Y149" s="411"/>
      <c r="Z149" s="412">
        <f t="shared" si="895"/>
        <v>0</v>
      </c>
      <c r="AA149" s="413"/>
      <c r="AB149" s="413"/>
      <c r="AC149" s="413"/>
      <c r="AD149" s="413"/>
      <c r="AE149" s="413"/>
      <c r="AF149" s="413"/>
      <c r="AG149" s="413"/>
      <c r="AH149" s="413"/>
      <c r="AI149" s="413"/>
      <c r="AJ149" s="413"/>
      <c r="AK149" s="413"/>
      <c r="AL149" s="413"/>
      <c r="AM149" s="572"/>
      <c r="AN149" s="351" t="s">
        <v>161</v>
      </c>
      <c r="AO149" s="351" t="str">
        <f t="shared" si="833"/>
        <v>WMJ.ru</v>
      </c>
      <c r="AP149" s="115">
        <f t="shared" si="883"/>
        <v>12</v>
      </c>
      <c r="AQ149" s="31">
        <f t="shared" ca="1" si="896"/>
        <v>0</v>
      </c>
      <c r="AR149" s="31" t="str">
        <f t="shared" ca="1" si="896"/>
        <v>-</v>
      </c>
      <c r="AS149" s="35">
        <v>0</v>
      </c>
      <c r="AT149" s="229">
        <v>0</v>
      </c>
      <c r="AU149" s="344">
        <f t="shared" ca="1" si="897"/>
        <v>280</v>
      </c>
      <c r="AV149" s="345">
        <f t="shared" ca="1" si="898"/>
        <v>280</v>
      </c>
      <c r="AW149" s="346">
        <f t="shared" ca="1" si="899"/>
        <v>280</v>
      </c>
      <c r="AX149" s="280"/>
      <c r="AY149" s="280"/>
      <c r="AZ149" s="347">
        <f t="shared" ca="1" si="900"/>
        <v>140000</v>
      </c>
      <c r="BA149" s="348">
        <f t="shared" ca="1" si="901"/>
        <v>140000</v>
      </c>
      <c r="BB149" s="347">
        <f t="shared" ca="1" si="902"/>
        <v>500</v>
      </c>
      <c r="BC149" s="37" t="str">
        <f t="shared" ca="1" si="902"/>
        <v>Пакет</v>
      </c>
      <c r="BD149" s="229" t="str">
        <f t="shared" ca="1" si="903"/>
        <v>Пакет</v>
      </c>
      <c r="BE149" s="283">
        <f t="shared" ca="1" si="834"/>
        <v>0</v>
      </c>
      <c r="BF149" s="347">
        <f t="array" aca="1" ref="BF149" ca="1">SUM($K149:$V149*$BK149:$BV149)*$AZ149</f>
        <v>0</v>
      </c>
      <c r="BG149" s="347">
        <f t="array" aca="1" ref="BG149" ca="1">SUM($K149:$V149*$BY149:$CJ149*$BK149:$BV149)*$AZ149*$BX149</f>
        <v>0</v>
      </c>
      <c r="BH149" s="347">
        <f t="array" aca="1" ref="BH149" ca="1">SUM($K149:$V149*$BY149:$CJ149*$BK149:$BV149)*(1-$BE149)*$AZ149*$BX149</f>
        <v>0</v>
      </c>
      <c r="BI149" s="350">
        <f t="shared" ca="1" si="904"/>
        <v>0</v>
      </c>
      <c r="BJ149" s="275" t="str">
        <f t="shared" ca="1" si="905"/>
        <v>Да</v>
      </c>
      <c r="BK149" s="116">
        <f t="shared" ca="1" si="906"/>
        <v>0.8</v>
      </c>
      <c r="BL149" s="117">
        <f t="shared" ca="1" si="906"/>
        <v>0.9</v>
      </c>
      <c r="BM149" s="117">
        <f t="shared" ca="1" si="906"/>
        <v>1</v>
      </c>
      <c r="BN149" s="117">
        <f t="shared" ca="1" si="906"/>
        <v>1</v>
      </c>
      <c r="BO149" s="117">
        <f t="shared" ca="1" si="906"/>
        <v>1</v>
      </c>
      <c r="BP149" s="117">
        <f t="shared" ca="1" si="906"/>
        <v>1</v>
      </c>
      <c r="BQ149" s="117">
        <f t="shared" ca="1" si="906"/>
        <v>0.9</v>
      </c>
      <c r="BR149" s="117">
        <f t="shared" ca="1" si="906"/>
        <v>0.9</v>
      </c>
      <c r="BS149" s="117">
        <f t="shared" ca="1" si="906"/>
        <v>1.3</v>
      </c>
      <c r="BT149" s="117">
        <f t="shared" ca="1" si="906"/>
        <v>1.3</v>
      </c>
      <c r="BU149" s="117">
        <f t="shared" ca="1" si="906"/>
        <v>1.3</v>
      </c>
      <c r="BV149" s="278">
        <f t="shared" ca="1" si="906"/>
        <v>1.3</v>
      </c>
      <c r="BW149" s="280">
        <f t="shared" si="835"/>
        <v>5</v>
      </c>
      <c r="BX149" s="118">
        <f>IF($AN149="Ya",100%,100%+extraDelayZ)</f>
        <v>1</v>
      </c>
      <c r="BY149" s="263">
        <f t="shared" si="907"/>
        <v>1</v>
      </c>
      <c r="BZ149" s="264">
        <f t="shared" si="908"/>
        <v>1</v>
      </c>
      <c r="CA149" s="264">
        <f t="shared" si="909"/>
        <v>1</v>
      </c>
      <c r="CB149" s="264">
        <f t="shared" si="910"/>
        <v>1</v>
      </c>
      <c r="CC149" s="264">
        <f t="shared" si="911"/>
        <v>1</v>
      </c>
      <c r="CD149" s="264">
        <f t="shared" si="912"/>
        <v>1</v>
      </c>
      <c r="CE149" s="264">
        <f t="shared" si="913"/>
        <v>1</v>
      </c>
      <c r="CF149" s="264">
        <f t="shared" si="914"/>
        <v>1</v>
      </c>
      <c r="CG149" s="264">
        <f t="shared" si="915"/>
        <v>1</v>
      </c>
      <c r="CH149" s="264">
        <f t="shared" si="916"/>
        <v>1</v>
      </c>
      <c r="CI149" s="264">
        <f t="shared" si="917"/>
        <v>1</v>
      </c>
      <c r="CJ149" s="265">
        <f t="shared" si="918"/>
        <v>1</v>
      </c>
      <c r="CK149" s="269">
        <f t="array" ref="CK149">IF(ISERROR(SUM($K149:$V149*$BY149:$CJ149)/SUM($K149:$V149)),1,SUM($K149:$V149*$BY149:$CJ149)/SUM($K149:$V149))-1</f>
        <v>0</v>
      </c>
      <c r="CL149" s="234"/>
    </row>
    <row r="150" spans="1:90" ht="12.75" hidden="1" outlineLevel="1" x14ac:dyDescent="0.2">
      <c r="B150" s="404" t="str">
        <f t="shared" ca="1" si="886"/>
        <v>Пакет "Охват 1000К", 100%х90</v>
      </c>
      <c r="C150" s="649" t="str">
        <f t="shared" ca="1" si="887"/>
        <v>Пакет</v>
      </c>
      <c r="D150" s="405">
        <f t="shared" ca="1" si="888"/>
        <v>240</v>
      </c>
      <c r="E150" s="405">
        <f t="shared" ca="1" si="889"/>
        <v>240</v>
      </c>
      <c r="F150" s="405">
        <f t="shared" ca="1" si="890"/>
        <v>240</v>
      </c>
      <c r="G150" s="406">
        <f t="shared" ca="1" si="891"/>
        <v>240000</v>
      </c>
      <c r="H150" s="406">
        <f t="shared" ca="1" si="892"/>
        <v>240000</v>
      </c>
      <c r="I150" s="406">
        <f t="shared" ca="1" si="893"/>
        <v>0</v>
      </c>
      <c r="J150" s="407">
        <f t="shared" ca="1" si="894"/>
        <v>0</v>
      </c>
      <c r="K150" s="408"/>
      <c r="L150" s="409"/>
      <c r="M150" s="409"/>
      <c r="N150" s="409"/>
      <c r="O150" s="409"/>
      <c r="P150" s="409"/>
      <c r="Q150" s="409"/>
      <c r="R150" s="409"/>
      <c r="S150" s="409"/>
      <c r="T150" s="409"/>
      <c r="U150" s="409"/>
      <c r="V150" s="410"/>
      <c r="W150" s="406">
        <f t="shared" ca="1" si="832"/>
        <v>0</v>
      </c>
      <c r="X150" s="406"/>
      <c r="Y150" s="411"/>
      <c r="Z150" s="412">
        <f t="shared" si="895"/>
        <v>0</v>
      </c>
      <c r="AA150" s="413"/>
      <c r="AB150" s="413"/>
      <c r="AC150" s="413"/>
      <c r="AD150" s="413"/>
      <c r="AE150" s="413"/>
      <c r="AF150" s="413"/>
      <c r="AG150" s="413"/>
      <c r="AH150" s="413"/>
      <c r="AI150" s="413"/>
      <c r="AJ150" s="413"/>
      <c r="AK150" s="413"/>
      <c r="AL150" s="413"/>
      <c r="AM150" s="572"/>
      <c r="AN150" s="351" t="s">
        <v>161</v>
      </c>
      <c r="AO150" s="351" t="str">
        <f t="shared" si="833"/>
        <v>WMJ.ru</v>
      </c>
      <c r="AP150" s="115">
        <f t="shared" si="883"/>
        <v>12</v>
      </c>
      <c r="AQ150" s="31">
        <f t="shared" ca="1" si="896"/>
        <v>0</v>
      </c>
      <c r="AR150" s="31" t="str">
        <f t="shared" ca="1" si="896"/>
        <v>-</v>
      </c>
      <c r="AS150" s="35">
        <v>0</v>
      </c>
      <c r="AT150" s="229">
        <v>0</v>
      </c>
      <c r="AU150" s="344">
        <f t="shared" ca="1" si="897"/>
        <v>240</v>
      </c>
      <c r="AV150" s="345">
        <f t="shared" ca="1" si="898"/>
        <v>240</v>
      </c>
      <c r="AW150" s="346">
        <f t="shared" ca="1" si="899"/>
        <v>240</v>
      </c>
      <c r="AX150" s="280"/>
      <c r="AY150" s="280"/>
      <c r="AZ150" s="347">
        <f t="shared" ca="1" si="900"/>
        <v>240000</v>
      </c>
      <c r="BA150" s="348">
        <f t="shared" ca="1" si="901"/>
        <v>240000</v>
      </c>
      <c r="BB150" s="347">
        <f t="shared" ca="1" si="902"/>
        <v>1000</v>
      </c>
      <c r="BC150" s="37" t="str">
        <f t="shared" ca="1" si="902"/>
        <v>Пакет</v>
      </c>
      <c r="BD150" s="229" t="str">
        <f t="shared" ca="1" si="903"/>
        <v>Пакет</v>
      </c>
      <c r="BE150" s="283">
        <f t="shared" ca="1" si="834"/>
        <v>0</v>
      </c>
      <c r="BF150" s="347">
        <f t="array" aca="1" ref="BF150" ca="1">SUM($K150:$V150*$BK150:$BV150)*$AZ150</f>
        <v>0</v>
      </c>
      <c r="BG150" s="347">
        <f t="array" aca="1" ref="BG150" ca="1">SUM($K150:$V150*$BY150:$CJ150*$BK150:$BV150)*$AZ150*$BX150</f>
        <v>0</v>
      </c>
      <c r="BH150" s="347">
        <f t="array" aca="1" ref="BH150" ca="1">SUM($K150:$V150*$BY150:$CJ150*$BK150:$BV150)*(1-$BE150)*$AZ150*$BX150</f>
        <v>0</v>
      </c>
      <c r="BI150" s="350">
        <f t="shared" ca="1" si="904"/>
        <v>0</v>
      </c>
      <c r="BJ150" s="275" t="str">
        <f t="shared" ca="1" si="905"/>
        <v>Да</v>
      </c>
      <c r="BK150" s="116">
        <f t="shared" ca="1" si="906"/>
        <v>0.8</v>
      </c>
      <c r="BL150" s="117">
        <f t="shared" ca="1" si="906"/>
        <v>0.9</v>
      </c>
      <c r="BM150" s="117">
        <f t="shared" ca="1" si="906"/>
        <v>1</v>
      </c>
      <c r="BN150" s="117">
        <f t="shared" ca="1" si="906"/>
        <v>1</v>
      </c>
      <c r="BO150" s="117">
        <f t="shared" ca="1" si="906"/>
        <v>1</v>
      </c>
      <c r="BP150" s="117">
        <f t="shared" ca="1" si="906"/>
        <v>1</v>
      </c>
      <c r="BQ150" s="117">
        <f t="shared" ca="1" si="906"/>
        <v>0.9</v>
      </c>
      <c r="BR150" s="117">
        <f t="shared" ca="1" si="906"/>
        <v>0.9</v>
      </c>
      <c r="BS150" s="117">
        <f t="shared" ca="1" si="906"/>
        <v>1.3</v>
      </c>
      <c r="BT150" s="117">
        <f t="shared" ca="1" si="906"/>
        <v>1.3</v>
      </c>
      <c r="BU150" s="117">
        <f t="shared" ca="1" si="906"/>
        <v>1.3</v>
      </c>
      <c r="BV150" s="278">
        <f t="shared" ca="1" si="906"/>
        <v>1.3</v>
      </c>
      <c r="BW150" s="280">
        <f t="shared" si="835"/>
        <v>6</v>
      </c>
      <c r="BX150" s="118">
        <f>IF($AN150="Ya",100%,100%+extraDelayZ)</f>
        <v>1</v>
      </c>
      <c r="BY150" s="263">
        <f t="shared" si="907"/>
        <v>1</v>
      </c>
      <c r="BZ150" s="264">
        <f t="shared" si="908"/>
        <v>1</v>
      </c>
      <c r="CA150" s="264">
        <f t="shared" si="909"/>
        <v>1</v>
      </c>
      <c r="CB150" s="264">
        <f t="shared" si="910"/>
        <v>1</v>
      </c>
      <c r="CC150" s="264">
        <f t="shared" si="911"/>
        <v>1</v>
      </c>
      <c r="CD150" s="264">
        <f t="shared" si="912"/>
        <v>1</v>
      </c>
      <c r="CE150" s="264">
        <f t="shared" si="913"/>
        <v>1</v>
      </c>
      <c r="CF150" s="264">
        <f t="shared" si="914"/>
        <v>1</v>
      </c>
      <c r="CG150" s="264">
        <f t="shared" si="915"/>
        <v>1</v>
      </c>
      <c r="CH150" s="264">
        <f t="shared" si="916"/>
        <v>1</v>
      </c>
      <c r="CI150" s="264">
        <f t="shared" si="917"/>
        <v>1</v>
      </c>
      <c r="CJ150" s="265">
        <f t="shared" si="918"/>
        <v>1</v>
      </c>
      <c r="CK150" s="269">
        <f t="array" ref="CK150">IF(ISERROR(SUM($K150:$V150*$BY150:$CJ150)/SUM($K150:$V150)),1,SUM($K150:$V150*$BY150:$CJ150)/SUM($K150:$V150))-1</f>
        <v>0</v>
      </c>
      <c r="CL150" s="234"/>
    </row>
    <row r="151" spans="1:90" ht="12.75" hidden="1" outlineLevel="1" x14ac:dyDescent="0.2">
      <c r="B151" s="404" t="str">
        <f t="shared" ca="1" si="886"/>
        <v>Пакет "Охват 2000К", 100%х90</v>
      </c>
      <c r="C151" s="649" t="str">
        <f t="shared" ca="1" si="887"/>
        <v>Пакет</v>
      </c>
      <c r="D151" s="405">
        <f t="shared" ca="1" si="888"/>
        <v>200</v>
      </c>
      <c r="E151" s="405">
        <f t="shared" ca="1" si="889"/>
        <v>200</v>
      </c>
      <c r="F151" s="405">
        <f t="shared" ca="1" si="890"/>
        <v>200</v>
      </c>
      <c r="G151" s="406">
        <f t="shared" ca="1" si="891"/>
        <v>400000</v>
      </c>
      <c r="H151" s="406">
        <f t="shared" ca="1" si="892"/>
        <v>400000</v>
      </c>
      <c r="I151" s="406">
        <f t="shared" ca="1" si="893"/>
        <v>0</v>
      </c>
      <c r="J151" s="407">
        <f t="shared" ca="1" si="894"/>
        <v>0</v>
      </c>
      <c r="K151" s="408"/>
      <c r="L151" s="409"/>
      <c r="M151" s="409"/>
      <c r="N151" s="409"/>
      <c r="O151" s="409"/>
      <c r="P151" s="409"/>
      <c r="Q151" s="409"/>
      <c r="R151" s="409"/>
      <c r="S151" s="409"/>
      <c r="T151" s="409"/>
      <c r="U151" s="409"/>
      <c r="V151" s="410"/>
      <c r="W151" s="406">
        <f t="shared" ca="1" si="832"/>
        <v>0</v>
      </c>
      <c r="X151" s="406"/>
      <c r="Y151" s="411"/>
      <c r="Z151" s="412">
        <f t="shared" ref="Z151" si="919">CK151</f>
        <v>0</v>
      </c>
      <c r="AA151" s="413"/>
      <c r="AB151" s="413"/>
      <c r="AC151" s="413"/>
      <c r="AD151" s="413"/>
      <c r="AE151" s="413"/>
      <c r="AF151" s="413"/>
      <c r="AG151" s="413"/>
      <c r="AH151" s="413"/>
      <c r="AI151" s="413"/>
      <c r="AJ151" s="413"/>
      <c r="AK151" s="413"/>
      <c r="AL151" s="413"/>
      <c r="AM151" s="572"/>
      <c r="AN151" s="351" t="s">
        <v>161</v>
      </c>
      <c r="AO151" s="351" t="str">
        <f t="shared" si="833"/>
        <v>WMJ.ru</v>
      </c>
      <c r="AP151" s="115">
        <f t="shared" si="883"/>
        <v>12</v>
      </c>
      <c r="AQ151" s="31">
        <f t="shared" ca="1" si="896"/>
        <v>0</v>
      </c>
      <c r="AR151" s="31" t="str">
        <f t="shared" ca="1" si="896"/>
        <v>-</v>
      </c>
      <c r="AS151" s="35">
        <v>0</v>
      </c>
      <c r="AT151" s="229">
        <v>0</v>
      </c>
      <c r="AU151" s="344">
        <f t="shared" ca="1" si="897"/>
        <v>200</v>
      </c>
      <c r="AV151" s="345">
        <f t="shared" ca="1" si="898"/>
        <v>200</v>
      </c>
      <c r="AW151" s="346">
        <f t="shared" ca="1" si="899"/>
        <v>200</v>
      </c>
      <c r="AX151" s="280"/>
      <c r="AY151" s="280"/>
      <c r="AZ151" s="347">
        <f t="shared" ca="1" si="900"/>
        <v>400000</v>
      </c>
      <c r="BA151" s="348">
        <f t="shared" ca="1" si="901"/>
        <v>400000</v>
      </c>
      <c r="BB151" s="347">
        <f t="shared" ca="1" si="902"/>
        <v>2000</v>
      </c>
      <c r="BC151" s="37" t="str">
        <f t="shared" ca="1" si="902"/>
        <v>Пакет</v>
      </c>
      <c r="BD151" s="229" t="str">
        <f t="shared" ca="1" si="903"/>
        <v>Пакет</v>
      </c>
      <c r="BE151" s="283">
        <f t="shared" ca="1" si="834"/>
        <v>0</v>
      </c>
      <c r="BF151" s="347">
        <f t="array" aca="1" ref="BF151" ca="1">SUM($K151:$V151*$BK151:$BV151)*$AZ151</f>
        <v>0</v>
      </c>
      <c r="BG151" s="347">
        <f t="array" aca="1" ref="BG151" ca="1">SUM($K151:$V151*$BY151:$CJ151*$BK151:$BV151)*$AZ151*$BX151</f>
        <v>0</v>
      </c>
      <c r="BH151" s="347">
        <f t="array" aca="1" ref="BH151" ca="1">SUM($K151:$V151*$BY151:$CJ151*$BK151:$BV151)*(1-$BE151)*$AZ151*$BX151</f>
        <v>0</v>
      </c>
      <c r="BI151" s="350">
        <f t="shared" ca="1" si="904"/>
        <v>0</v>
      </c>
      <c r="BJ151" s="275" t="str">
        <f t="shared" ca="1" si="905"/>
        <v>Да</v>
      </c>
      <c r="BK151" s="116">
        <f t="shared" ca="1" si="906"/>
        <v>0.8</v>
      </c>
      <c r="BL151" s="117">
        <f t="shared" ca="1" si="906"/>
        <v>0.9</v>
      </c>
      <c r="BM151" s="117">
        <f t="shared" ca="1" si="906"/>
        <v>1</v>
      </c>
      <c r="BN151" s="117">
        <f t="shared" ca="1" si="906"/>
        <v>1</v>
      </c>
      <c r="BO151" s="117">
        <f t="shared" ca="1" si="906"/>
        <v>1</v>
      </c>
      <c r="BP151" s="117">
        <f t="shared" ca="1" si="906"/>
        <v>1</v>
      </c>
      <c r="BQ151" s="117">
        <f t="shared" ca="1" si="906"/>
        <v>0.9</v>
      </c>
      <c r="BR151" s="117">
        <f t="shared" ca="1" si="906"/>
        <v>0.9</v>
      </c>
      <c r="BS151" s="117">
        <f t="shared" ca="1" si="906"/>
        <v>1.3</v>
      </c>
      <c r="BT151" s="117">
        <f t="shared" ca="1" si="906"/>
        <v>1.3</v>
      </c>
      <c r="BU151" s="117">
        <f t="shared" ca="1" si="906"/>
        <v>1.3</v>
      </c>
      <c r="BV151" s="278">
        <f t="shared" ca="1" si="906"/>
        <v>1.3</v>
      </c>
      <c r="BW151" s="280">
        <f t="shared" si="835"/>
        <v>7</v>
      </c>
      <c r="BX151" s="118">
        <f>IF($AN151="Ya",100%,100%+extraDelayZ)</f>
        <v>1</v>
      </c>
      <c r="BY151" s="263">
        <f t="shared" ref="BY151" si="920">(1+AA151)</f>
        <v>1</v>
      </c>
      <c r="BZ151" s="264">
        <f t="shared" ref="BZ151" si="921">(1+AB151)</f>
        <v>1</v>
      </c>
      <c r="CA151" s="264">
        <f t="shared" ref="CA151" si="922">(1+AC151)</f>
        <v>1</v>
      </c>
      <c r="CB151" s="264">
        <f t="shared" ref="CB151" si="923">(1+AD151)</f>
        <v>1</v>
      </c>
      <c r="CC151" s="264">
        <f t="shared" ref="CC151" si="924">(1+AE151)</f>
        <v>1</v>
      </c>
      <c r="CD151" s="264">
        <f t="shared" ref="CD151" si="925">(1+AF151)</f>
        <v>1</v>
      </c>
      <c r="CE151" s="264">
        <f t="shared" ref="CE151" si="926">(1+AG151)</f>
        <v>1</v>
      </c>
      <c r="CF151" s="264">
        <f t="shared" ref="CF151" si="927">(1+AH151)</f>
        <v>1</v>
      </c>
      <c r="CG151" s="264">
        <f t="shared" ref="CG151" si="928">(1+AI151)</f>
        <v>1</v>
      </c>
      <c r="CH151" s="264">
        <f t="shared" ref="CH151" si="929">(1+AJ151)</f>
        <v>1</v>
      </c>
      <c r="CI151" s="264">
        <f t="shared" ref="CI151" si="930">(1+AK151)</f>
        <v>1</v>
      </c>
      <c r="CJ151" s="265">
        <f t="shared" ref="CJ151" si="931">(1+AL151)</f>
        <v>1</v>
      </c>
      <c r="CK151" s="269">
        <f t="array" ref="CK151">IF(ISERROR(SUM($K151:$V151*$BY151:$CJ151)/SUM($K151:$V151)),1,SUM($K151:$V151*$BY151:$CJ151)/SUM($K151:$V151))-1</f>
        <v>0</v>
      </c>
      <c r="CL151" s="234"/>
    </row>
    <row r="152" spans="1:90" ht="12.75" hidden="1" outlineLevel="1" x14ac:dyDescent="0.2">
      <c r="B152" s="404" t="str">
        <f t="shared" ca="1" si="886"/>
        <v>Пакет "Охват 500К", 300х300 (второй экран)</v>
      </c>
      <c r="C152" s="649" t="str">
        <f t="shared" ca="1" si="887"/>
        <v>Пакет</v>
      </c>
      <c r="D152" s="405">
        <f t="shared" ca="1" si="888"/>
        <v>280</v>
      </c>
      <c r="E152" s="405">
        <f t="shared" ca="1" si="889"/>
        <v>280</v>
      </c>
      <c r="F152" s="405">
        <f t="shared" ca="1" si="890"/>
        <v>280</v>
      </c>
      <c r="G152" s="406">
        <f t="shared" ca="1" si="891"/>
        <v>140000</v>
      </c>
      <c r="H152" s="406">
        <f t="shared" ca="1" si="892"/>
        <v>140000</v>
      </c>
      <c r="I152" s="406">
        <f t="shared" ca="1" si="893"/>
        <v>0</v>
      </c>
      <c r="J152" s="407">
        <f t="shared" ca="1" si="894"/>
        <v>0</v>
      </c>
      <c r="K152" s="408"/>
      <c r="L152" s="409"/>
      <c r="M152" s="409"/>
      <c r="N152" s="409"/>
      <c r="O152" s="409"/>
      <c r="P152" s="409"/>
      <c r="Q152" s="409"/>
      <c r="R152" s="409"/>
      <c r="S152" s="409"/>
      <c r="T152" s="409"/>
      <c r="U152" s="409"/>
      <c r="V152" s="410"/>
      <c r="W152" s="406">
        <f t="shared" ca="1" si="832"/>
        <v>0</v>
      </c>
      <c r="X152" s="406"/>
      <c r="Y152" s="411"/>
      <c r="Z152" s="412">
        <f t="shared" ref="Z152" si="932">CK152</f>
        <v>0</v>
      </c>
      <c r="AA152" s="413"/>
      <c r="AB152" s="413"/>
      <c r="AC152" s="413"/>
      <c r="AD152" s="413"/>
      <c r="AE152" s="413"/>
      <c r="AF152" s="413"/>
      <c r="AG152" s="413"/>
      <c r="AH152" s="413"/>
      <c r="AI152" s="413"/>
      <c r="AJ152" s="413"/>
      <c r="AK152" s="413"/>
      <c r="AL152" s="413"/>
      <c r="AM152" s="572"/>
      <c r="AN152" s="351" t="s">
        <v>161</v>
      </c>
      <c r="AO152" s="351" t="str">
        <f t="shared" si="833"/>
        <v>WMJ.ru</v>
      </c>
      <c r="AP152" s="115">
        <f t="shared" si="883"/>
        <v>12</v>
      </c>
      <c r="AQ152" s="31">
        <f t="shared" ca="1" si="896"/>
        <v>0</v>
      </c>
      <c r="AR152" s="31" t="str">
        <f t="shared" ca="1" si="896"/>
        <v>-</v>
      </c>
      <c r="AS152" s="35">
        <v>0</v>
      </c>
      <c r="AT152" s="229">
        <v>0</v>
      </c>
      <c r="AU152" s="344">
        <f t="shared" ca="1" si="897"/>
        <v>280</v>
      </c>
      <c r="AV152" s="345">
        <f t="shared" ca="1" si="898"/>
        <v>280</v>
      </c>
      <c r="AW152" s="346">
        <f t="shared" ca="1" si="899"/>
        <v>280</v>
      </c>
      <c r="AX152" s="280"/>
      <c r="AY152" s="280"/>
      <c r="AZ152" s="347">
        <f t="shared" ca="1" si="900"/>
        <v>140000</v>
      </c>
      <c r="BA152" s="348">
        <f t="shared" ca="1" si="901"/>
        <v>140000</v>
      </c>
      <c r="BB152" s="347">
        <f t="shared" ca="1" si="902"/>
        <v>500</v>
      </c>
      <c r="BC152" s="37" t="str">
        <f t="shared" ca="1" si="902"/>
        <v>Пакет</v>
      </c>
      <c r="BD152" s="229" t="str">
        <f t="shared" ca="1" si="903"/>
        <v>Пакет</v>
      </c>
      <c r="BE152" s="283">
        <f t="shared" ca="1" si="834"/>
        <v>0</v>
      </c>
      <c r="BF152" s="347">
        <f t="array" aca="1" ref="BF152" ca="1">SUM($K152:$V152*$BK152:$BV152)*$AZ152</f>
        <v>0</v>
      </c>
      <c r="BG152" s="347">
        <f t="array" aca="1" ref="BG152" ca="1">SUM($K152:$V152*$BY152:$CJ152*$BK152:$BV152)*$AZ152*$BX152</f>
        <v>0</v>
      </c>
      <c r="BH152" s="347">
        <f t="array" aca="1" ref="BH152" ca="1">SUM($K152:$V152*$BY152:$CJ152*$BK152:$BV152)*(1-$BE152)*$AZ152*$BX152</f>
        <v>0</v>
      </c>
      <c r="BI152" s="350">
        <f t="shared" ca="1" si="904"/>
        <v>0</v>
      </c>
      <c r="BJ152" s="275" t="str">
        <f t="shared" ca="1" si="905"/>
        <v>Да</v>
      </c>
      <c r="BK152" s="116">
        <f t="shared" ca="1" si="906"/>
        <v>0.8</v>
      </c>
      <c r="BL152" s="117">
        <f t="shared" ca="1" si="906"/>
        <v>0.9</v>
      </c>
      <c r="BM152" s="117">
        <f t="shared" ca="1" si="906"/>
        <v>1</v>
      </c>
      <c r="BN152" s="117">
        <f t="shared" ca="1" si="906"/>
        <v>1</v>
      </c>
      <c r="BO152" s="117">
        <f t="shared" ca="1" si="906"/>
        <v>1</v>
      </c>
      <c r="BP152" s="117">
        <f t="shared" ca="1" si="906"/>
        <v>1</v>
      </c>
      <c r="BQ152" s="117">
        <f t="shared" ca="1" si="906"/>
        <v>0.9</v>
      </c>
      <c r="BR152" s="117">
        <f t="shared" ca="1" si="906"/>
        <v>0.9</v>
      </c>
      <c r="BS152" s="117">
        <f t="shared" ca="1" si="906"/>
        <v>1.3</v>
      </c>
      <c r="BT152" s="117">
        <f t="shared" ca="1" si="906"/>
        <v>1.3</v>
      </c>
      <c r="BU152" s="117">
        <f t="shared" ca="1" si="906"/>
        <v>1.3</v>
      </c>
      <c r="BV152" s="278">
        <f t="shared" ca="1" si="906"/>
        <v>1.3</v>
      </c>
      <c r="BW152" s="280">
        <f t="shared" si="835"/>
        <v>8</v>
      </c>
      <c r="BX152" s="118">
        <f>IF($AN152="Ya",100%,100%+extraDelayZ)</f>
        <v>1</v>
      </c>
      <c r="BY152" s="263">
        <f t="shared" ref="BY152" si="933">(1+AA152)</f>
        <v>1</v>
      </c>
      <c r="BZ152" s="264">
        <f t="shared" ref="BZ152" si="934">(1+AB152)</f>
        <v>1</v>
      </c>
      <c r="CA152" s="264">
        <f t="shared" ref="CA152" si="935">(1+AC152)</f>
        <v>1</v>
      </c>
      <c r="CB152" s="264">
        <f t="shared" ref="CB152" si="936">(1+AD152)</f>
        <v>1</v>
      </c>
      <c r="CC152" s="264">
        <f t="shared" ref="CC152" si="937">(1+AE152)</f>
        <v>1</v>
      </c>
      <c r="CD152" s="264">
        <f t="shared" ref="CD152" si="938">(1+AF152)</f>
        <v>1</v>
      </c>
      <c r="CE152" s="264">
        <f t="shared" ref="CE152" si="939">(1+AG152)</f>
        <v>1</v>
      </c>
      <c r="CF152" s="264">
        <f t="shared" ref="CF152" si="940">(1+AH152)</f>
        <v>1</v>
      </c>
      <c r="CG152" s="264">
        <f t="shared" ref="CG152" si="941">(1+AI152)</f>
        <v>1</v>
      </c>
      <c r="CH152" s="264">
        <f t="shared" ref="CH152" si="942">(1+AJ152)</f>
        <v>1</v>
      </c>
      <c r="CI152" s="264">
        <f t="shared" ref="CI152" si="943">(1+AK152)</f>
        <v>1</v>
      </c>
      <c r="CJ152" s="265">
        <f t="shared" ref="CJ152" si="944">(1+AL152)</f>
        <v>1</v>
      </c>
      <c r="CK152" s="269">
        <f t="array" ref="CK152">IF(ISERROR(SUM($K152:$V152*$BY152:$CJ152)/SUM($K152:$V152)),1,SUM($K152:$V152*$BY152:$CJ152)/SUM($K152:$V152))-1</f>
        <v>0</v>
      </c>
      <c r="CL152" s="234"/>
    </row>
    <row r="153" spans="1:90" ht="12.75" hidden="1" outlineLevel="1" x14ac:dyDescent="0.2">
      <c r="B153" s="404" t="str">
        <f t="shared" ca="1" si="886"/>
        <v>Пакет "Охват 1000К", 300х300 (второй экран)</v>
      </c>
      <c r="C153" s="649" t="str">
        <f t="shared" ca="1" si="887"/>
        <v>Пакет</v>
      </c>
      <c r="D153" s="405">
        <f t="shared" ca="1" si="888"/>
        <v>240</v>
      </c>
      <c r="E153" s="405">
        <f t="shared" ca="1" si="889"/>
        <v>240</v>
      </c>
      <c r="F153" s="405">
        <f t="shared" ca="1" si="890"/>
        <v>240</v>
      </c>
      <c r="G153" s="406">
        <f t="shared" ca="1" si="891"/>
        <v>240000</v>
      </c>
      <c r="H153" s="406">
        <f t="shared" ca="1" si="892"/>
        <v>240000</v>
      </c>
      <c r="I153" s="406">
        <f t="shared" ca="1" si="893"/>
        <v>0</v>
      </c>
      <c r="J153" s="407">
        <f t="shared" ca="1" si="894"/>
        <v>0</v>
      </c>
      <c r="K153" s="408"/>
      <c r="L153" s="409"/>
      <c r="M153" s="409"/>
      <c r="N153" s="409"/>
      <c r="O153" s="409"/>
      <c r="P153" s="409"/>
      <c r="Q153" s="409"/>
      <c r="R153" s="409"/>
      <c r="S153" s="409"/>
      <c r="T153" s="409"/>
      <c r="U153" s="409"/>
      <c r="V153" s="410"/>
      <c r="W153" s="406">
        <f t="shared" ca="1" si="832"/>
        <v>0</v>
      </c>
      <c r="X153" s="406"/>
      <c r="Y153" s="411"/>
      <c r="Z153" s="412">
        <f t="shared" si="895"/>
        <v>0</v>
      </c>
      <c r="AA153" s="413"/>
      <c r="AB153" s="413"/>
      <c r="AC153" s="413"/>
      <c r="AD153" s="413"/>
      <c r="AE153" s="413"/>
      <c r="AF153" s="413"/>
      <c r="AG153" s="413"/>
      <c r="AH153" s="413"/>
      <c r="AI153" s="413"/>
      <c r="AJ153" s="413"/>
      <c r="AK153" s="413"/>
      <c r="AL153" s="413"/>
      <c r="AM153" s="572"/>
      <c r="AN153" s="351" t="s">
        <v>161</v>
      </c>
      <c r="AO153" s="351" t="str">
        <f t="shared" si="833"/>
        <v>WMJ.ru</v>
      </c>
      <c r="AP153" s="115">
        <f t="shared" si="883"/>
        <v>12</v>
      </c>
      <c r="AQ153" s="31">
        <f t="shared" ca="1" si="896"/>
        <v>0</v>
      </c>
      <c r="AR153" s="31" t="str">
        <f t="shared" ca="1" si="896"/>
        <v>-</v>
      </c>
      <c r="AS153" s="35">
        <v>0</v>
      </c>
      <c r="AT153" s="229">
        <v>0</v>
      </c>
      <c r="AU153" s="344">
        <f t="shared" ca="1" si="897"/>
        <v>240</v>
      </c>
      <c r="AV153" s="345">
        <f t="shared" ca="1" si="898"/>
        <v>240</v>
      </c>
      <c r="AW153" s="346">
        <f t="shared" ca="1" si="899"/>
        <v>240</v>
      </c>
      <c r="AX153" s="280"/>
      <c r="AY153" s="280"/>
      <c r="AZ153" s="347">
        <f t="shared" ca="1" si="900"/>
        <v>240000</v>
      </c>
      <c r="BA153" s="348">
        <f t="shared" ca="1" si="901"/>
        <v>240000</v>
      </c>
      <c r="BB153" s="347">
        <f t="shared" ca="1" si="902"/>
        <v>1000</v>
      </c>
      <c r="BC153" s="37" t="str">
        <f t="shared" ca="1" si="902"/>
        <v>Пакет</v>
      </c>
      <c r="BD153" s="229" t="str">
        <f t="shared" ca="1" si="903"/>
        <v>Пакет</v>
      </c>
      <c r="BE153" s="283">
        <f t="shared" ca="1" si="834"/>
        <v>0</v>
      </c>
      <c r="BF153" s="347">
        <f t="array" aca="1" ref="BF153" ca="1">SUM($K153:$V153*$BK153:$BV153)*$AZ153</f>
        <v>0</v>
      </c>
      <c r="BG153" s="347">
        <f t="array" aca="1" ref="BG153" ca="1">SUM($K153:$V153*$BY153:$CJ153*$BK153:$BV153)*$AZ153*$BX153</f>
        <v>0</v>
      </c>
      <c r="BH153" s="347">
        <f t="array" aca="1" ref="BH153" ca="1">SUM($K153:$V153*$BY153:$CJ153*$BK153:$BV153)*(1-$BE153)*$AZ153*$BX153</f>
        <v>0</v>
      </c>
      <c r="BI153" s="350">
        <f t="shared" ca="1" si="904"/>
        <v>0</v>
      </c>
      <c r="BJ153" s="275" t="str">
        <f t="shared" ca="1" si="905"/>
        <v>Да</v>
      </c>
      <c r="BK153" s="116">
        <f t="shared" ca="1" si="906"/>
        <v>0.8</v>
      </c>
      <c r="BL153" s="117">
        <f t="shared" ca="1" si="906"/>
        <v>0.9</v>
      </c>
      <c r="BM153" s="117">
        <f t="shared" ca="1" si="906"/>
        <v>1</v>
      </c>
      <c r="BN153" s="117">
        <f t="shared" ca="1" si="906"/>
        <v>1</v>
      </c>
      <c r="BO153" s="117">
        <f t="shared" ca="1" si="906"/>
        <v>1</v>
      </c>
      <c r="BP153" s="117">
        <f t="shared" ca="1" si="906"/>
        <v>1</v>
      </c>
      <c r="BQ153" s="117">
        <f t="shared" ca="1" si="906"/>
        <v>0.9</v>
      </c>
      <c r="BR153" s="117">
        <f t="shared" ca="1" si="906"/>
        <v>0.9</v>
      </c>
      <c r="BS153" s="117">
        <f t="shared" ca="1" si="906"/>
        <v>1.3</v>
      </c>
      <c r="BT153" s="117">
        <f t="shared" ca="1" si="906"/>
        <v>1.3</v>
      </c>
      <c r="BU153" s="117">
        <f t="shared" ca="1" si="906"/>
        <v>1.3</v>
      </c>
      <c r="BV153" s="278">
        <f t="shared" ca="1" si="906"/>
        <v>1.3</v>
      </c>
      <c r="BW153" s="280">
        <f t="shared" si="835"/>
        <v>9</v>
      </c>
      <c r="BX153" s="118">
        <f>IF($AN153="Ya",100%,100%+extraDelayZ)</f>
        <v>1</v>
      </c>
      <c r="BY153" s="263">
        <f t="shared" si="907"/>
        <v>1</v>
      </c>
      <c r="BZ153" s="264">
        <f t="shared" si="908"/>
        <v>1</v>
      </c>
      <c r="CA153" s="264">
        <f t="shared" si="909"/>
        <v>1</v>
      </c>
      <c r="CB153" s="264">
        <f t="shared" si="910"/>
        <v>1</v>
      </c>
      <c r="CC153" s="264">
        <f t="shared" si="911"/>
        <v>1</v>
      </c>
      <c r="CD153" s="264">
        <f t="shared" si="912"/>
        <v>1</v>
      </c>
      <c r="CE153" s="264">
        <f t="shared" si="913"/>
        <v>1</v>
      </c>
      <c r="CF153" s="264">
        <f t="shared" si="914"/>
        <v>1</v>
      </c>
      <c r="CG153" s="264">
        <f t="shared" si="915"/>
        <v>1</v>
      </c>
      <c r="CH153" s="264">
        <f t="shared" si="916"/>
        <v>1</v>
      </c>
      <c r="CI153" s="264">
        <f t="shared" si="917"/>
        <v>1</v>
      </c>
      <c r="CJ153" s="265">
        <f t="shared" si="918"/>
        <v>1</v>
      </c>
      <c r="CK153" s="269">
        <f t="array" ref="CK153">IF(ISERROR(SUM($K153:$V153*$BY153:$CJ153)/SUM($K153:$V153)),1,SUM($K153:$V153*$BY153:$CJ153)/SUM($K153:$V153))-1</f>
        <v>0</v>
      </c>
      <c r="CL153" s="234"/>
    </row>
    <row r="154" spans="1:90" ht="12.75" hidden="1" outlineLevel="1" x14ac:dyDescent="0.2">
      <c r="B154" s="404" t="str">
        <f t="shared" ca="1" si="886"/>
        <v>Пакет "Охват 2000К", 300х300 (второй экран)</v>
      </c>
      <c r="C154" s="649" t="str">
        <f t="shared" ca="1" si="887"/>
        <v>Пакет</v>
      </c>
      <c r="D154" s="405">
        <f t="shared" ca="1" si="888"/>
        <v>200</v>
      </c>
      <c r="E154" s="405">
        <f t="shared" ca="1" si="889"/>
        <v>200</v>
      </c>
      <c r="F154" s="405">
        <f t="shared" ca="1" si="890"/>
        <v>200</v>
      </c>
      <c r="G154" s="406">
        <f t="shared" ca="1" si="891"/>
        <v>400000</v>
      </c>
      <c r="H154" s="406">
        <f t="shared" ca="1" si="892"/>
        <v>400000</v>
      </c>
      <c r="I154" s="406">
        <f t="shared" ca="1" si="893"/>
        <v>0</v>
      </c>
      <c r="J154" s="407">
        <f t="shared" ca="1" si="894"/>
        <v>0</v>
      </c>
      <c r="K154" s="408"/>
      <c r="L154" s="409"/>
      <c r="M154" s="409"/>
      <c r="N154" s="409"/>
      <c r="O154" s="409"/>
      <c r="P154" s="409"/>
      <c r="Q154" s="409"/>
      <c r="R154" s="409"/>
      <c r="S154" s="409"/>
      <c r="T154" s="409"/>
      <c r="U154" s="409"/>
      <c r="V154" s="410"/>
      <c r="W154" s="406">
        <f t="shared" ca="1" si="832"/>
        <v>0</v>
      </c>
      <c r="X154" s="406"/>
      <c r="Y154" s="411"/>
      <c r="Z154" s="412">
        <f t="shared" si="895"/>
        <v>0</v>
      </c>
      <c r="AA154" s="413"/>
      <c r="AB154" s="413"/>
      <c r="AC154" s="413"/>
      <c r="AD154" s="413"/>
      <c r="AE154" s="413"/>
      <c r="AF154" s="413"/>
      <c r="AG154" s="413"/>
      <c r="AH154" s="413"/>
      <c r="AI154" s="413"/>
      <c r="AJ154" s="413"/>
      <c r="AK154" s="413"/>
      <c r="AL154" s="413"/>
      <c r="AM154" s="572"/>
      <c r="AN154" s="351" t="s">
        <v>161</v>
      </c>
      <c r="AO154" s="351" t="str">
        <f t="shared" si="833"/>
        <v>WMJ.ru</v>
      </c>
      <c r="AP154" s="115">
        <f t="shared" si="883"/>
        <v>12</v>
      </c>
      <c r="AQ154" s="31">
        <f t="shared" ca="1" si="896"/>
        <v>0</v>
      </c>
      <c r="AR154" s="31" t="str">
        <f t="shared" ca="1" si="896"/>
        <v>-</v>
      </c>
      <c r="AS154" s="35">
        <v>0</v>
      </c>
      <c r="AT154" s="229">
        <v>0</v>
      </c>
      <c r="AU154" s="344">
        <f t="shared" ca="1" si="897"/>
        <v>200</v>
      </c>
      <c r="AV154" s="345">
        <f t="shared" ca="1" si="898"/>
        <v>200</v>
      </c>
      <c r="AW154" s="346">
        <f t="shared" ca="1" si="899"/>
        <v>200</v>
      </c>
      <c r="AX154" s="280"/>
      <c r="AY154" s="280"/>
      <c r="AZ154" s="347">
        <f t="shared" ca="1" si="900"/>
        <v>400000</v>
      </c>
      <c r="BA154" s="348">
        <f t="shared" ca="1" si="901"/>
        <v>400000</v>
      </c>
      <c r="BB154" s="347">
        <f t="shared" ca="1" si="902"/>
        <v>2000</v>
      </c>
      <c r="BC154" s="37" t="str">
        <f t="shared" ca="1" si="902"/>
        <v>Пакет</v>
      </c>
      <c r="BD154" s="229" t="str">
        <f t="shared" ca="1" si="903"/>
        <v>Пакет</v>
      </c>
      <c r="BE154" s="283">
        <f t="shared" ca="1" si="834"/>
        <v>0</v>
      </c>
      <c r="BF154" s="347">
        <f t="array" aca="1" ref="BF154" ca="1">SUM($K154:$V154*$BK154:$BV154)*$AZ154</f>
        <v>0</v>
      </c>
      <c r="BG154" s="347">
        <f t="array" aca="1" ref="BG154" ca="1">SUM($K154:$V154*$BY154:$CJ154*$BK154:$BV154)*$AZ154*$BX154</f>
        <v>0</v>
      </c>
      <c r="BH154" s="347">
        <f t="array" aca="1" ref="BH154" ca="1">SUM($K154:$V154*$BY154:$CJ154*$BK154:$BV154)*(1-$BE154)*$AZ154*$BX154</f>
        <v>0</v>
      </c>
      <c r="BI154" s="350">
        <f t="shared" ca="1" si="904"/>
        <v>0</v>
      </c>
      <c r="BJ154" s="275" t="str">
        <f t="shared" ca="1" si="905"/>
        <v>Да</v>
      </c>
      <c r="BK154" s="116">
        <f t="shared" ca="1" si="906"/>
        <v>0.8</v>
      </c>
      <c r="BL154" s="117">
        <f t="shared" ca="1" si="906"/>
        <v>0.9</v>
      </c>
      <c r="BM154" s="117">
        <f t="shared" ca="1" si="906"/>
        <v>1</v>
      </c>
      <c r="BN154" s="117">
        <f t="shared" ca="1" si="906"/>
        <v>1</v>
      </c>
      <c r="BO154" s="117">
        <f t="shared" ca="1" si="906"/>
        <v>1</v>
      </c>
      <c r="BP154" s="117">
        <f t="shared" ca="1" si="906"/>
        <v>1</v>
      </c>
      <c r="BQ154" s="117">
        <f t="shared" ca="1" si="906"/>
        <v>0.9</v>
      </c>
      <c r="BR154" s="117">
        <f t="shared" ca="1" si="906"/>
        <v>0.9</v>
      </c>
      <c r="BS154" s="117">
        <f t="shared" ca="1" si="906"/>
        <v>1.3</v>
      </c>
      <c r="BT154" s="117">
        <f t="shared" ca="1" si="906"/>
        <v>1.3</v>
      </c>
      <c r="BU154" s="117">
        <f t="shared" ca="1" si="906"/>
        <v>1.3</v>
      </c>
      <c r="BV154" s="278">
        <f t="shared" ca="1" si="906"/>
        <v>1.3</v>
      </c>
      <c r="BW154" s="280">
        <f t="shared" si="835"/>
        <v>10</v>
      </c>
      <c r="BX154" s="118">
        <f>IF($AN154="Ya",100%,100%+extraDelayZ)</f>
        <v>1</v>
      </c>
      <c r="BY154" s="263">
        <f t="shared" si="907"/>
        <v>1</v>
      </c>
      <c r="BZ154" s="264">
        <f t="shared" si="908"/>
        <v>1</v>
      </c>
      <c r="CA154" s="264">
        <f t="shared" si="909"/>
        <v>1</v>
      </c>
      <c r="CB154" s="264">
        <f t="shared" si="910"/>
        <v>1</v>
      </c>
      <c r="CC154" s="264">
        <f t="shared" si="911"/>
        <v>1</v>
      </c>
      <c r="CD154" s="264">
        <f t="shared" si="912"/>
        <v>1</v>
      </c>
      <c r="CE154" s="264">
        <f t="shared" si="913"/>
        <v>1</v>
      </c>
      <c r="CF154" s="264">
        <f t="shared" si="914"/>
        <v>1</v>
      </c>
      <c r="CG154" s="264">
        <f t="shared" si="915"/>
        <v>1</v>
      </c>
      <c r="CH154" s="264">
        <f t="shared" si="916"/>
        <v>1</v>
      </c>
      <c r="CI154" s="264">
        <f t="shared" si="917"/>
        <v>1</v>
      </c>
      <c r="CJ154" s="265">
        <f t="shared" si="918"/>
        <v>1</v>
      </c>
      <c r="CK154" s="269">
        <f t="array" ref="CK154">IF(ISERROR(SUM($K154:$V154*$BY154:$CJ154)/SUM($K154:$V154)),1,SUM($K154:$V154*$BY154:$CJ154)/SUM($K154:$V154))-1</f>
        <v>0</v>
      </c>
      <c r="CL154" s="234"/>
    </row>
    <row r="155" spans="1:90" ht="12.75" hidden="1" outlineLevel="1" x14ac:dyDescent="0.2">
      <c r="B155" s="404" t="str">
        <f t="shared" ca="1" si="886"/>
        <v>Пакет "Тизер", Текстово-графический блок</v>
      </c>
      <c r="C155" s="649" t="str">
        <f t="shared" ca="1" si="887"/>
        <v>Нед</v>
      </c>
      <c r="D155" s="405">
        <f t="shared" ca="1" si="888"/>
        <v>50</v>
      </c>
      <c r="E155" s="405">
        <f t="shared" ca="1" si="889"/>
        <v>50</v>
      </c>
      <c r="F155" s="405">
        <f t="shared" ca="1" si="890"/>
        <v>50</v>
      </c>
      <c r="G155" s="406">
        <f t="shared" ca="1" si="891"/>
        <v>250000</v>
      </c>
      <c r="H155" s="406">
        <f t="shared" ca="1" si="892"/>
        <v>250000</v>
      </c>
      <c r="I155" s="406">
        <f t="shared" ca="1" si="893"/>
        <v>0</v>
      </c>
      <c r="J155" s="407">
        <f t="shared" ca="1" si="894"/>
        <v>0</v>
      </c>
      <c r="K155" s="408"/>
      <c r="L155" s="409"/>
      <c r="M155" s="409"/>
      <c r="N155" s="409"/>
      <c r="O155" s="409"/>
      <c r="P155" s="409"/>
      <c r="Q155" s="409"/>
      <c r="R155" s="409"/>
      <c r="S155" s="409"/>
      <c r="T155" s="409"/>
      <c r="U155" s="409"/>
      <c r="V155" s="410"/>
      <c r="W155" s="406">
        <f t="shared" ca="1" si="832"/>
        <v>0</v>
      </c>
      <c r="X155" s="406"/>
      <c r="Y155" s="411"/>
      <c r="Z155" s="412">
        <f t="shared" si="895"/>
        <v>0</v>
      </c>
      <c r="AA155" s="413"/>
      <c r="AB155" s="413"/>
      <c r="AC155" s="413"/>
      <c r="AD155" s="413"/>
      <c r="AE155" s="413"/>
      <c r="AF155" s="413"/>
      <c r="AG155" s="413"/>
      <c r="AH155" s="413"/>
      <c r="AI155" s="413"/>
      <c r="AJ155" s="413"/>
      <c r="AK155" s="413"/>
      <c r="AL155" s="413"/>
      <c r="AM155" s="572"/>
      <c r="AN155" s="351" t="s">
        <v>161</v>
      </c>
      <c r="AO155" s="351" t="str">
        <f t="shared" si="833"/>
        <v>WMJ.ru</v>
      </c>
      <c r="AP155" s="115">
        <f t="shared" si="883"/>
        <v>12</v>
      </c>
      <c r="AQ155" s="31" t="str">
        <f t="shared" ca="1" si="896"/>
        <v>-</v>
      </c>
      <c r="AR155" s="31" t="str">
        <f t="shared" ca="1" si="896"/>
        <v>-</v>
      </c>
      <c r="AS155" s="35">
        <v>0</v>
      </c>
      <c r="AT155" s="229">
        <v>0</v>
      </c>
      <c r="AU155" s="344">
        <f t="shared" ca="1" si="897"/>
        <v>50</v>
      </c>
      <c r="AV155" s="345">
        <f t="shared" ca="1" si="898"/>
        <v>50</v>
      </c>
      <c r="AW155" s="346">
        <f t="shared" ca="1" si="899"/>
        <v>50</v>
      </c>
      <c r="AX155" s="280"/>
      <c r="AY155" s="280"/>
      <c r="AZ155" s="347">
        <f t="shared" ca="1" si="900"/>
        <v>250000</v>
      </c>
      <c r="BA155" s="348">
        <f t="shared" ca="1" si="901"/>
        <v>250000</v>
      </c>
      <c r="BB155" s="347">
        <f t="shared" ca="1" si="902"/>
        <v>5000</v>
      </c>
      <c r="BC155" s="37" t="str">
        <f t="shared" ca="1" si="902"/>
        <v>Неделя</v>
      </c>
      <c r="BD155" s="229" t="str">
        <f t="shared" ca="1" si="903"/>
        <v>Нед</v>
      </c>
      <c r="BE155" s="283">
        <f t="shared" ca="1" si="834"/>
        <v>0</v>
      </c>
      <c r="BF155" s="347">
        <f t="array" aca="1" ref="BF155" ca="1">SUM($K155:$V155*$BK155:$BV155)*$AZ155</f>
        <v>0</v>
      </c>
      <c r="BG155" s="347">
        <f t="array" aca="1" ref="BG155" ca="1">SUM($K155:$V155*$BY155:$CJ155*$BK155:$BV155)*$AZ155*$BX155</f>
        <v>0</v>
      </c>
      <c r="BH155" s="347">
        <f t="array" aca="1" ref="BH155" ca="1">SUM($K155:$V155*$BY155:$CJ155*$BK155:$BV155)*(1-$BE155)*$AZ155*$BX155</f>
        <v>0</v>
      </c>
      <c r="BI155" s="350">
        <f t="shared" ca="1" si="904"/>
        <v>0</v>
      </c>
      <c r="BJ155" s="275" t="str">
        <f t="shared" ca="1" si="905"/>
        <v>Да</v>
      </c>
      <c r="BK155" s="116">
        <f t="shared" ca="1" si="906"/>
        <v>0.8</v>
      </c>
      <c r="BL155" s="117">
        <f t="shared" ca="1" si="906"/>
        <v>0.9</v>
      </c>
      <c r="BM155" s="117">
        <f t="shared" ca="1" si="906"/>
        <v>1</v>
      </c>
      <c r="BN155" s="117">
        <f t="shared" ca="1" si="906"/>
        <v>1</v>
      </c>
      <c r="BO155" s="117">
        <f t="shared" ca="1" si="906"/>
        <v>1</v>
      </c>
      <c r="BP155" s="117">
        <f t="shared" ca="1" si="906"/>
        <v>1</v>
      </c>
      <c r="BQ155" s="117">
        <f t="shared" ca="1" si="906"/>
        <v>0.9</v>
      </c>
      <c r="BR155" s="117">
        <f t="shared" ca="1" si="906"/>
        <v>0.9</v>
      </c>
      <c r="BS155" s="117">
        <f t="shared" ca="1" si="906"/>
        <v>1.3</v>
      </c>
      <c r="BT155" s="117">
        <f t="shared" ca="1" si="906"/>
        <v>1.3</v>
      </c>
      <c r="BU155" s="117">
        <f t="shared" ca="1" si="906"/>
        <v>1.3</v>
      </c>
      <c r="BV155" s="278">
        <f t="shared" ca="1" si="906"/>
        <v>1.3</v>
      </c>
      <c r="BW155" s="280">
        <f t="shared" si="835"/>
        <v>11</v>
      </c>
      <c r="BX155" s="118">
        <f>IF($AN155="Ya",100%,100%+extraDelayZ)</f>
        <v>1</v>
      </c>
      <c r="BY155" s="263">
        <f t="shared" si="907"/>
        <v>1</v>
      </c>
      <c r="BZ155" s="264">
        <f t="shared" si="908"/>
        <v>1</v>
      </c>
      <c r="CA155" s="264">
        <f t="shared" si="909"/>
        <v>1</v>
      </c>
      <c r="CB155" s="264">
        <f t="shared" si="910"/>
        <v>1</v>
      </c>
      <c r="CC155" s="264">
        <f t="shared" si="911"/>
        <v>1</v>
      </c>
      <c r="CD155" s="264">
        <f t="shared" si="912"/>
        <v>1</v>
      </c>
      <c r="CE155" s="264">
        <f t="shared" si="913"/>
        <v>1</v>
      </c>
      <c r="CF155" s="264">
        <f t="shared" si="914"/>
        <v>1</v>
      </c>
      <c r="CG155" s="264">
        <f t="shared" si="915"/>
        <v>1</v>
      </c>
      <c r="CH155" s="264">
        <f t="shared" si="916"/>
        <v>1</v>
      </c>
      <c r="CI155" s="264">
        <f t="shared" si="917"/>
        <v>1</v>
      </c>
      <c r="CJ155" s="265">
        <f t="shared" si="918"/>
        <v>1</v>
      </c>
      <c r="CK155" s="269">
        <f t="array" ref="CK155">IF(ISERROR(SUM($K155:$V155*$BY155:$CJ155)/SUM($K155:$V155)),1,SUM($K155:$V155*$BY155:$CJ155)/SUM($K155:$V155))-1</f>
        <v>0</v>
      </c>
      <c r="CL155" s="234"/>
    </row>
    <row r="156" spans="1:90" ht="12.75" hidden="1" outlineLevel="1" x14ac:dyDescent="0.2">
      <c r="B156" s="414" t="str">
        <f t="shared" ca="1" si="886"/>
        <v>Все страницы, FullScreen, F=1</v>
      </c>
      <c r="C156" s="649" t="str">
        <f t="shared" ca="1" si="887"/>
        <v>х1000</v>
      </c>
      <c r="D156" s="415">
        <f t="shared" ca="1" si="888"/>
        <v>2000</v>
      </c>
      <c r="E156" s="415">
        <f t="shared" ca="1" si="889"/>
        <v>2000</v>
      </c>
      <c r="F156" s="415">
        <f t="shared" ca="1" si="890"/>
        <v>2000</v>
      </c>
      <c r="G156" s="416">
        <f t="shared" ca="1" si="891"/>
        <v>2000</v>
      </c>
      <c r="H156" s="416">
        <f t="shared" ca="1" si="892"/>
        <v>2000</v>
      </c>
      <c r="I156" s="406">
        <f t="shared" ca="1" si="893"/>
        <v>0</v>
      </c>
      <c r="J156" s="407">
        <f t="shared" ca="1" si="894"/>
        <v>0</v>
      </c>
      <c r="K156" s="417"/>
      <c r="L156" s="418"/>
      <c r="M156" s="418"/>
      <c r="N156" s="418"/>
      <c r="O156" s="418"/>
      <c r="P156" s="418"/>
      <c r="Q156" s="418"/>
      <c r="R156" s="418"/>
      <c r="S156" s="418"/>
      <c r="T156" s="418"/>
      <c r="U156" s="418"/>
      <c r="V156" s="419"/>
      <c r="W156" s="416">
        <f t="shared" ca="1" si="832"/>
        <v>0</v>
      </c>
      <c r="X156" s="416"/>
      <c r="Y156" s="420"/>
      <c r="Z156" s="412">
        <f t="shared" si="895"/>
        <v>0</v>
      </c>
      <c r="AA156" s="421"/>
      <c r="AB156" s="421"/>
      <c r="AC156" s="421"/>
      <c r="AD156" s="421"/>
      <c r="AE156" s="421"/>
      <c r="AF156" s="421"/>
      <c r="AG156" s="421"/>
      <c r="AH156" s="421"/>
      <c r="AI156" s="421"/>
      <c r="AJ156" s="421"/>
      <c r="AK156" s="421"/>
      <c r="AL156" s="421"/>
      <c r="AM156" s="573"/>
      <c r="AN156" s="351" t="s">
        <v>161</v>
      </c>
      <c r="AO156" s="351" t="str">
        <f t="shared" si="833"/>
        <v>WMJ.ru</v>
      </c>
      <c r="AP156" s="115">
        <f t="shared" si="883"/>
        <v>12</v>
      </c>
      <c r="AQ156" s="31" t="str">
        <f t="shared" ca="1" si="896"/>
        <v>-</v>
      </c>
      <c r="AR156" s="31" t="str">
        <f t="shared" ca="1" si="896"/>
        <v>Вкл</v>
      </c>
      <c r="AS156" s="35">
        <v>0</v>
      </c>
      <c r="AT156" s="229">
        <v>0</v>
      </c>
      <c r="AU156" s="344">
        <f t="shared" ca="1" si="897"/>
        <v>2000</v>
      </c>
      <c r="AV156" s="345">
        <f t="shared" ca="1" si="898"/>
        <v>2000</v>
      </c>
      <c r="AW156" s="346">
        <f t="shared" ca="1" si="899"/>
        <v>2000</v>
      </c>
      <c r="AX156" s="280"/>
      <c r="AY156" s="280"/>
      <c r="AZ156" s="347">
        <f t="shared" ca="1" si="900"/>
        <v>2000</v>
      </c>
      <c r="BA156" s="348">
        <f t="shared" ca="1" si="901"/>
        <v>2000</v>
      </c>
      <c r="BB156" s="347">
        <f t="shared" ca="1" si="902"/>
        <v>1</v>
      </c>
      <c r="BC156" s="37" t="str">
        <f t="shared" ca="1" si="902"/>
        <v>1000 контактов</v>
      </c>
      <c r="BD156" s="229" t="str">
        <f t="shared" ca="1" si="903"/>
        <v>х1000</v>
      </c>
      <c r="BE156" s="283">
        <f t="shared" ca="1" si="834"/>
        <v>0</v>
      </c>
      <c r="BF156" s="347">
        <f t="array" aca="1" ref="BF156" ca="1">SUM($K156:$V156*$BK156:$BV156)*$AZ156</f>
        <v>0</v>
      </c>
      <c r="BG156" s="347">
        <f t="array" aca="1" ref="BG156" ca="1">SUM($K156:$V156*$BY156:$CJ156*$BK156:$BV156)*$AZ156*$BX156</f>
        <v>0</v>
      </c>
      <c r="BH156" s="347">
        <f t="array" aca="1" ref="BH156" ca="1">SUM($K156:$V156*$BY156:$CJ156*$BK156:$BV156)*(1-$BE156)*$AZ156*$BX156</f>
        <v>0</v>
      </c>
      <c r="BI156" s="350">
        <f t="shared" ca="1" si="904"/>
        <v>0</v>
      </c>
      <c r="BJ156" s="275" t="str">
        <f t="shared" ca="1" si="905"/>
        <v>Да</v>
      </c>
      <c r="BK156" s="116">
        <f t="shared" ca="1" si="906"/>
        <v>0.8</v>
      </c>
      <c r="BL156" s="117">
        <f t="shared" ca="1" si="906"/>
        <v>0.9</v>
      </c>
      <c r="BM156" s="117">
        <f t="shared" ca="1" si="906"/>
        <v>1</v>
      </c>
      <c r="BN156" s="117">
        <f t="shared" ca="1" si="906"/>
        <v>1</v>
      </c>
      <c r="BO156" s="117">
        <f t="shared" ca="1" si="906"/>
        <v>1</v>
      </c>
      <c r="BP156" s="117">
        <f t="shared" ca="1" si="906"/>
        <v>1</v>
      </c>
      <c r="BQ156" s="117">
        <f t="shared" ca="1" si="906"/>
        <v>0.9</v>
      </c>
      <c r="BR156" s="117">
        <f t="shared" ca="1" si="906"/>
        <v>0.9</v>
      </c>
      <c r="BS156" s="117">
        <f t="shared" ca="1" si="906"/>
        <v>1.3</v>
      </c>
      <c r="BT156" s="117">
        <f t="shared" ca="1" si="906"/>
        <v>1.3</v>
      </c>
      <c r="BU156" s="117">
        <f t="shared" ca="1" si="906"/>
        <v>1.3</v>
      </c>
      <c r="BV156" s="278">
        <f t="shared" ca="1" si="906"/>
        <v>1.3</v>
      </c>
      <c r="BW156" s="280">
        <f t="shared" si="835"/>
        <v>12</v>
      </c>
      <c r="BX156" s="118">
        <f>IF($AN156="Ya",100%,100%+extraDelayZ)</f>
        <v>1</v>
      </c>
      <c r="BY156" s="263">
        <f t="shared" si="907"/>
        <v>1</v>
      </c>
      <c r="BZ156" s="264">
        <f t="shared" si="908"/>
        <v>1</v>
      </c>
      <c r="CA156" s="264">
        <f t="shared" si="909"/>
        <v>1</v>
      </c>
      <c r="CB156" s="264">
        <f t="shared" si="910"/>
        <v>1</v>
      </c>
      <c r="CC156" s="264">
        <f t="shared" si="911"/>
        <v>1</v>
      </c>
      <c r="CD156" s="264">
        <f t="shared" si="912"/>
        <v>1</v>
      </c>
      <c r="CE156" s="264">
        <f t="shared" si="913"/>
        <v>1</v>
      </c>
      <c r="CF156" s="264">
        <f t="shared" si="914"/>
        <v>1</v>
      </c>
      <c r="CG156" s="264">
        <f t="shared" si="915"/>
        <v>1</v>
      </c>
      <c r="CH156" s="264">
        <f t="shared" si="916"/>
        <v>1</v>
      </c>
      <c r="CI156" s="264">
        <f t="shared" si="917"/>
        <v>1</v>
      </c>
      <c r="CJ156" s="265">
        <f t="shared" si="918"/>
        <v>1</v>
      </c>
      <c r="CK156" s="269">
        <f t="array" ref="CK156">IF(ISERROR(SUM($K156:$V156*$BY156:$CJ156)/SUM($K156:$V156)),1,SUM($K156:$V156*$BY156:$CJ156)/SUM($K156:$V156))-1</f>
        <v>0</v>
      </c>
      <c r="CL156" s="234"/>
    </row>
    <row r="157" spans="1:90" ht="15" collapsed="1" x14ac:dyDescent="0.2">
      <c r="A157" s="391"/>
      <c r="B157" s="392" t="str">
        <f>CONCATENATE($AO157,IF($AX157&gt;0,CONCATENATE("  (план ",TEXT(INDEX(indBudX,MATCH($AN157,indPrefixX,0)),"# ##0")," руб.)"),""))</f>
        <v>Passion.ru</v>
      </c>
      <c r="C157" s="650" t="s">
        <v>363</v>
      </c>
      <c r="D157" s="393"/>
      <c r="E157" s="394"/>
      <c r="F157" s="394"/>
      <c r="G157" s="395"/>
      <c r="H157" s="395"/>
      <c r="I157" s="395">
        <f t="shared" ca="1" si="893"/>
        <v>0</v>
      </c>
      <c r="J157" s="396">
        <f ca="1">$BH157</f>
        <v>0</v>
      </c>
      <c r="K157" s="397"/>
      <c r="L157" s="398"/>
      <c r="M157" s="398"/>
      <c r="N157" s="398"/>
      <c r="O157" s="398"/>
      <c r="P157" s="398"/>
      <c r="Q157" s="398"/>
      <c r="R157" s="398"/>
      <c r="S157" s="398"/>
      <c r="T157" s="398"/>
      <c r="U157" s="398"/>
      <c r="V157" s="399"/>
      <c r="W157" s="395">
        <f t="shared" ca="1" si="832"/>
        <v>0</v>
      </c>
      <c r="X157" s="576"/>
      <c r="Y157" s="400">
        <f ca="1">$BE157</f>
        <v>0</v>
      </c>
      <c r="Z157" s="401"/>
      <c r="AA157" s="402"/>
      <c r="AB157" s="402"/>
      <c r="AC157" s="402"/>
      <c r="AD157" s="402"/>
      <c r="AE157" s="402"/>
      <c r="AF157" s="402"/>
      <c r="AG157" s="402"/>
      <c r="AH157" s="402"/>
      <c r="AI157" s="402"/>
      <c r="AJ157" s="402"/>
      <c r="AK157" s="402"/>
      <c r="AL157" s="402"/>
      <c r="AM157" s="403"/>
      <c r="AN157" s="130" t="s">
        <v>64</v>
      </c>
      <c r="AO157" s="130" t="str">
        <f t="shared" si="833"/>
        <v>Passion.ru</v>
      </c>
      <c r="AP157" s="119">
        <f t="shared" si="883"/>
        <v>9</v>
      </c>
      <c r="AQ157" s="120"/>
      <c r="AR157" s="120"/>
      <c r="AS157" s="121"/>
      <c r="AT157" s="228"/>
      <c r="AU157" s="232"/>
      <c r="AV157" s="179"/>
      <c r="AW157" s="233"/>
      <c r="AX157" s="279">
        <f>IF(ISERROR(INDEX(indBudX,MATCH($AN157,indPrefixX,0))),0,INDEX(indBudX,MATCH($AN157,indPrefixX,0)))</f>
        <v>0</v>
      </c>
      <c r="AY157" s="279">
        <f>IF(ISNUMBER($X157),$X157,0)</f>
        <v>0</v>
      </c>
      <c r="AZ157" s="123"/>
      <c r="BA157" s="125"/>
      <c r="BB157" s="123"/>
      <c r="BC157" s="124"/>
      <c r="BD157" s="464"/>
      <c r="BE157" s="282">
        <f t="shared" ca="1" si="834"/>
        <v>0</v>
      </c>
      <c r="BF157" s="123">
        <f t="shared" ref="BF157:BI157" ca="1" si="945">SUM(OFFSET(BF157,1,0,$AP157-1,1))</f>
        <v>0</v>
      </c>
      <c r="BG157" s="123">
        <f t="shared" ca="1" si="945"/>
        <v>0</v>
      </c>
      <c r="BH157" s="123">
        <f t="shared" ca="1" si="945"/>
        <v>0</v>
      </c>
      <c r="BI157" s="273">
        <f t="shared" ca="1" si="945"/>
        <v>0</v>
      </c>
      <c r="BJ157" s="274"/>
      <c r="BK157" s="126"/>
      <c r="BL157" s="127"/>
      <c r="BM157" s="127"/>
      <c r="BN157" s="127"/>
      <c r="BO157" s="127"/>
      <c r="BP157" s="127"/>
      <c r="BQ157" s="127"/>
      <c r="BR157" s="127"/>
      <c r="BS157" s="127"/>
      <c r="BT157" s="127"/>
      <c r="BU157" s="127"/>
      <c r="BV157" s="277"/>
      <c r="BW157" s="279">
        <f t="shared" si="835"/>
        <v>1</v>
      </c>
      <c r="BX157" s="128"/>
      <c r="BY157" s="260"/>
      <c r="BZ157" s="261"/>
      <c r="CA157" s="261"/>
      <c r="CB157" s="261"/>
      <c r="CC157" s="261"/>
      <c r="CD157" s="261"/>
      <c r="CE157" s="261"/>
      <c r="CF157" s="261"/>
      <c r="CG157" s="261"/>
      <c r="CH157" s="261"/>
      <c r="CI157" s="261"/>
      <c r="CJ157" s="262"/>
      <c r="CK157" s="270"/>
      <c r="CL157" s="234"/>
    </row>
    <row r="158" spans="1:90" ht="12.75" hidden="1" outlineLevel="1" x14ac:dyDescent="0.2">
      <c r="B158" s="404" t="str">
        <f t="shared" ref="B158:B165" ca="1" si="946">INDEX(INDIRECT(LOWER($AN158)&amp;"Price"),$BW158,2)</f>
        <v>Пакет "Охват 500К", 100%х90</v>
      </c>
      <c r="C158" s="649" t="str">
        <f t="shared" ref="C158:C165" ca="1" si="947">$BD158</f>
        <v>Пакет</v>
      </c>
      <c r="D158" s="405">
        <f t="shared" ref="D158:D165" ca="1" si="948">$AU158</f>
        <v>280</v>
      </c>
      <c r="E158" s="405">
        <f t="shared" ref="E158:E165" ca="1" si="949">$AV158</f>
        <v>280</v>
      </c>
      <c r="F158" s="405">
        <f t="shared" ref="F158:F165" ca="1" si="950">$AW158</f>
        <v>280</v>
      </c>
      <c r="G158" s="406">
        <f t="shared" ref="G158:G165" ca="1" si="951">$AZ158</f>
        <v>140000</v>
      </c>
      <c r="H158" s="406">
        <f t="shared" ref="H158:H165" ca="1" si="952">$BA158</f>
        <v>140000</v>
      </c>
      <c r="I158" s="406">
        <f t="shared" ref="I158:I166" ca="1" si="953">$BG158</f>
        <v>0</v>
      </c>
      <c r="J158" s="407">
        <f t="shared" ref="J158:J165" ca="1" si="954">$BH158</f>
        <v>0</v>
      </c>
      <c r="K158" s="408"/>
      <c r="L158" s="409"/>
      <c r="M158" s="409"/>
      <c r="N158" s="409"/>
      <c r="O158" s="409"/>
      <c r="P158" s="409"/>
      <c r="Q158" s="409"/>
      <c r="R158" s="409"/>
      <c r="S158" s="409"/>
      <c r="T158" s="409"/>
      <c r="U158" s="409"/>
      <c r="V158" s="410"/>
      <c r="W158" s="406">
        <f t="shared" ca="1" si="832"/>
        <v>0</v>
      </c>
      <c r="X158" s="406"/>
      <c r="Y158" s="411"/>
      <c r="Z158" s="412">
        <f t="shared" ref="Z158:Z165" si="955">CK158</f>
        <v>0</v>
      </c>
      <c r="AA158" s="413"/>
      <c r="AB158" s="413"/>
      <c r="AC158" s="413"/>
      <c r="AD158" s="413"/>
      <c r="AE158" s="413"/>
      <c r="AF158" s="413"/>
      <c r="AG158" s="413"/>
      <c r="AH158" s="413"/>
      <c r="AI158" s="413"/>
      <c r="AJ158" s="413"/>
      <c r="AK158" s="413"/>
      <c r="AL158" s="413"/>
      <c r="AM158" s="572"/>
      <c r="AN158" s="351" t="s">
        <v>64</v>
      </c>
      <c r="AO158" s="351" t="str">
        <f t="shared" si="833"/>
        <v>Passion.ru</v>
      </c>
      <c r="AP158" s="115">
        <f t="shared" si="883"/>
        <v>9</v>
      </c>
      <c r="AQ158" s="31">
        <f t="shared" ref="AQ158:AR165" ca="1" si="956">HLOOKUP(AQ$10,INDIRECT(LOWER($AN158)&amp;"Price"),$BW158,FALSE)</f>
        <v>0</v>
      </c>
      <c r="AR158" s="31" t="str">
        <f t="shared" ca="1" si="956"/>
        <v>-</v>
      </c>
      <c r="AS158" s="35">
        <v>0</v>
      </c>
      <c r="AT158" s="229">
        <v>0</v>
      </c>
      <c r="AU158" s="344">
        <f t="shared" ref="AU158:AU165" ca="1" si="957">HLOOKUP(AU$10,INDIRECT(LOWER($AN158)&amp;"Price"),$BW158,FALSE)</f>
        <v>280</v>
      </c>
      <c r="AV158" s="345">
        <f t="shared" ref="AV158:AV165" ca="1" si="958">IF(ISERROR($BG158/$BI158),$AU158,$BG158/$BI158)</f>
        <v>280</v>
      </c>
      <c r="AW158" s="346">
        <f t="shared" ref="AW158:AW165" ca="1" si="959">$AV158*(1-$BE158)</f>
        <v>280</v>
      </c>
      <c r="AX158" s="280"/>
      <c r="AY158" s="280"/>
      <c r="AZ158" s="347">
        <f t="shared" ref="AZ158:AZ165" ca="1" si="960">HLOOKUP(AZ$10,INDIRECT(LOWER($AN158)&amp;"Price"),$BW158,FALSE)</f>
        <v>140000</v>
      </c>
      <c r="BA158" s="348">
        <f t="shared" ref="BA158:BA165" ca="1" si="961">$AZ158*(1-$BE158)</f>
        <v>140000</v>
      </c>
      <c r="BB158" s="347">
        <f t="shared" ref="BB158:BC165" ca="1" si="962">HLOOKUP(BB$10,INDIRECT(LOWER($AN158)&amp;"Price"),$BW158,FALSE)</f>
        <v>500</v>
      </c>
      <c r="BC158" s="37" t="str">
        <f t="shared" ca="1" si="962"/>
        <v>Пакет</v>
      </c>
      <c r="BD158" s="229" t="str">
        <f t="shared" ref="BD158:BD165" ca="1" si="963">IF(ISERROR(VLOOKUP($BC158,typeIndexPair,2,FALSE)),"",VLOOKUP($BC158,typeIndexPair,2,FALSE))</f>
        <v>Пакет</v>
      </c>
      <c r="BE158" s="283">
        <f t="shared" ca="1" si="834"/>
        <v>0</v>
      </c>
      <c r="BF158" s="347">
        <f t="array" aca="1" ref="BF158" ca="1">SUM($K158:$V158*$BK158:$BV158)*$AZ158</f>
        <v>0</v>
      </c>
      <c r="BG158" s="347">
        <f t="array" aca="1" ref="BG158" ca="1">SUM($K158:$V158*$BY158:$CJ158*$BK158:$BV158)*$AZ158*$BX158</f>
        <v>0</v>
      </c>
      <c r="BH158" s="347">
        <f t="array" aca="1" ref="BH158" ca="1">SUM($K158:$V158*$BY158:$CJ158*$BK158:$BV158)*(1-$BE158)*$AZ158*$BX158</f>
        <v>0</v>
      </c>
      <c r="BI158" s="350">
        <f t="shared" ref="BI158:BI165" ca="1" si="964">SUM($K158:$V158)*$BB158</f>
        <v>0</v>
      </c>
      <c r="BJ158" s="275" t="str">
        <f t="shared" ref="BJ158:BJ165" ca="1" si="965">IF(ISERROR(HLOOKUP(BJ$10,INDIRECT(LOWER($AN158)&amp;"Price"),$BW158,FALSE)),"Да",HLOOKUP(BJ$10,INDIRECT(LOWER($AN158)&amp;"Price"),$BW158,FALSE))</f>
        <v>Да</v>
      </c>
      <c r="BK158" s="116">
        <f t="shared" ref="BK158:BV165" ca="1" si="966">IF($BJ158="Особ.",INDEX(INDIRECT(LOWER($AN158)&amp;"Season2"),BK$9),IF($BJ158="Да",INDEX(INDIRECT(LOWER($AN158)&amp;"Season"),BK$9),100%))</f>
        <v>0.8</v>
      </c>
      <c r="BL158" s="117">
        <f t="shared" ca="1" si="966"/>
        <v>0.9</v>
      </c>
      <c r="BM158" s="117">
        <f t="shared" ca="1" si="966"/>
        <v>1</v>
      </c>
      <c r="BN158" s="117">
        <f t="shared" ca="1" si="966"/>
        <v>1</v>
      </c>
      <c r="BO158" s="117">
        <f t="shared" ca="1" si="966"/>
        <v>1</v>
      </c>
      <c r="BP158" s="117">
        <f t="shared" ca="1" si="966"/>
        <v>1</v>
      </c>
      <c r="BQ158" s="117">
        <f t="shared" ca="1" si="966"/>
        <v>0.9</v>
      </c>
      <c r="BR158" s="117">
        <f t="shared" ca="1" si="966"/>
        <v>0.9</v>
      </c>
      <c r="BS158" s="117">
        <f t="shared" ca="1" si="966"/>
        <v>1.3</v>
      </c>
      <c r="BT158" s="117">
        <f t="shared" ca="1" si="966"/>
        <v>1.3</v>
      </c>
      <c r="BU158" s="117">
        <f t="shared" ca="1" si="966"/>
        <v>1.3</v>
      </c>
      <c r="BV158" s="278">
        <f t="shared" ca="1" si="966"/>
        <v>1.3</v>
      </c>
      <c r="BW158" s="280">
        <f t="shared" si="835"/>
        <v>2</v>
      </c>
      <c r="BX158" s="118">
        <f>IF($AN158="Ya",100%,100%+extraDelayZ)</f>
        <v>1</v>
      </c>
      <c r="BY158" s="263">
        <f t="shared" ref="BY158:BY165" si="967">(1+AA158)</f>
        <v>1</v>
      </c>
      <c r="BZ158" s="264">
        <f t="shared" ref="BZ158:BZ165" si="968">(1+AB158)</f>
        <v>1</v>
      </c>
      <c r="CA158" s="264">
        <f t="shared" ref="CA158:CA165" si="969">(1+AC158)</f>
        <v>1</v>
      </c>
      <c r="CB158" s="264">
        <f t="shared" ref="CB158:CB165" si="970">(1+AD158)</f>
        <v>1</v>
      </c>
      <c r="CC158" s="264">
        <f t="shared" ref="CC158:CC165" si="971">(1+AE158)</f>
        <v>1</v>
      </c>
      <c r="CD158" s="264">
        <f t="shared" ref="CD158:CD165" si="972">(1+AF158)</f>
        <v>1</v>
      </c>
      <c r="CE158" s="264">
        <f t="shared" ref="CE158:CE165" si="973">(1+AG158)</f>
        <v>1</v>
      </c>
      <c r="CF158" s="264">
        <f t="shared" ref="CF158:CF165" si="974">(1+AH158)</f>
        <v>1</v>
      </c>
      <c r="CG158" s="264">
        <f t="shared" ref="CG158:CG165" si="975">(1+AI158)</f>
        <v>1</v>
      </c>
      <c r="CH158" s="264">
        <f t="shared" ref="CH158:CH165" si="976">(1+AJ158)</f>
        <v>1</v>
      </c>
      <c r="CI158" s="264">
        <f t="shared" ref="CI158:CI165" si="977">(1+AK158)</f>
        <v>1</v>
      </c>
      <c r="CJ158" s="265">
        <f t="shared" ref="CJ158:CJ165" si="978">(1+AL158)</f>
        <v>1</v>
      </c>
      <c r="CK158" s="269">
        <f t="array" ref="CK158">IF(ISERROR(SUM($K158:$V158*$BY158:$CJ158)/SUM($K158:$V158)),1,SUM($K158:$V158*$BY158:$CJ158)/SUM($K158:$V158))-1</f>
        <v>0</v>
      </c>
      <c r="CL158" s="234"/>
    </row>
    <row r="159" spans="1:90" ht="12.75" hidden="1" outlineLevel="1" x14ac:dyDescent="0.2">
      <c r="B159" s="404" t="str">
        <f t="shared" ca="1" si="946"/>
        <v>Пакет "Охват 500К", 240x400</v>
      </c>
      <c r="C159" s="649" t="str">
        <f t="shared" ca="1" si="947"/>
        <v>Пакет</v>
      </c>
      <c r="D159" s="405">
        <f t="shared" ca="1" si="948"/>
        <v>350</v>
      </c>
      <c r="E159" s="405">
        <f t="shared" ca="1" si="949"/>
        <v>350</v>
      </c>
      <c r="F159" s="405">
        <f t="shared" ca="1" si="950"/>
        <v>350</v>
      </c>
      <c r="G159" s="406">
        <f t="shared" ca="1" si="951"/>
        <v>175000</v>
      </c>
      <c r="H159" s="406">
        <f t="shared" ca="1" si="952"/>
        <v>175000</v>
      </c>
      <c r="I159" s="406">
        <f t="shared" ca="1" si="953"/>
        <v>0</v>
      </c>
      <c r="J159" s="407">
        <f t="shared" ca="1" si="954"/>
        <v>0</v>
      </c>
      <c r="K159" s="408"/>
      <c r="L159" s="409"/>
      <c r="M159" s="409"/>
      <c r="N159" s="409"/>
      <c r="O159" s="409"/>
      <c r="P159" s="409"/>
      <c r="Q159" s="409"/>
      <c r="R159" s="409"/>
      <c r="S159" s="409"/>
      <c r="T159" s="409"/>
      <c r="U159" s="409"/>
      <c r="V159" s="410"/>
      <c r="W159" s="406">
        <f t="shared" ca="1" si="832"/>
        <v>0</v>
      </c>
      <c r="X159" s="406"/>
      <c r="Y159" s="411"/>
      <c r="Z159" s="412">
        <f t="shared" si="955"/>
        <v>0</v>
      </c>
      <c r="AA159" s="413"/>
      <c r="AB159" s="413"/>
      <c r="AC159" s="413"/>
      <c r="AD159" s="413"/>
      <c r="AE159" s="413"/>
      <c r="AF159" s="413"/>
      <c r="AG159" s="413"/>
      <c r="AH159" s="413"/>
      <c r="AI159" s="413"/>
      <c r="AJ159" s="413"/>
      <c r="AK159" s="413"/>
      <c r="AL159" s="413"/>
      <c r="AM159" s="572"/>
      <c r="AN159" s="351" t="s">
        <v>64</v>
      </c>
      <c r="AO159" s="351" t="str">
        <f t="shared" si="833"/>
        <v>Passion.ru</v>
      </c>
      <c r="AP159" s="115">
        <f t="shared" si="883"/>
        <v>9</v>
      </c>
      <c r="AQ159" s="31">
        <f t="shared" ca="1" si="956"/>
        <v>0.25</v>
      </c>
      <c r="AR159" s="31" t="str">
        <f t="shared" ca="1" si="956"/>
        <v>-</v>
      </c>
      <c r="AS159" s="35">
        <v>0</v>
      </c>
      <c r="AT159" s="229">
        <v>0</v>
      </c>
      <c r="AU159" s="344">
        <f t="shared" ca="1" si="957"/>
        <v>350</v>
      </c>
      <c r="AV159" s="345">
        <f t="shared" ca="1" si="958"/>
        <v>350</v>
      </c>
      <c r="AW159" s="346">
        <f t="shared" ca="1" si="959"/>
        <v>350</v>
      </c>
      <c r="AX159" s="280"/>
      <c r="AY159" s="280"/>
      <c r="AZ159" s="347">
        <f t="shared" ca="1" si="960"/>
        <v>175000</v>
      </c>
      <c r="BA159" s="348">
        <f t="shared" ca="1" si="961"/>
        <v>175000</v>
      </c>
      <c r="BB159" s="347">
        <f t="shared" ca="1" si="962"/>
        <v>500</v>
      </c>
      <c r="BC159" s="37" t="str">
        <f t="shared" ca="1" si="962"/>
        <v>Пакет</v>
      </c>
      <c r="BD159" s="229" t="str">
        <f t="shared" ca="1" si="963"/>
        <v>Пакет</v>
      </c>
      <c r="BE159" s="283">
        <f t="shared" ca="1" si="834"/>
        <v>0</v>
      </c>
      <c r="BF159" s="347">
        <f t="array" aca="1" ref="BF159" ca="1">SUM($K159:$V159*$BK159:$BV159)*$AZ159</f>
        <v>0</v>
      </c>
      <c r="BG159" s="347">
        <f t="array" aca="1" ref="BG159" ca="1">SUM($K159:$V159*$BY159:$CJ159*$BK159:$BV159)*$AZ159*$BX159</f>
        <v>0</v>
      </c>
      <c r="BH159" s="347">
        <f t="array" aca="1" ref="BH159" ca="1">SUM($K159:$V159*$BY159:$CJ159*$BK159:$BV159)*(1-$BE159)*$AZ159*$BX159</f>
        <v>0</v>
      </c>
      <c r="BI159" s="350">
        <f t="shared" ca="1" si="964"/>
        <v>0</v>
      </c>
      <c r="BJ159" s="275" t="str">
        <f t="shared" ca="1" si="965"/>
        <v>Да</v>
      </c>
      <c r="BK159" s="116">
        <f t="shared" ca="1" si="966"/>
        <v>0.8</v>
      </c>
      <c r="BL159" s="117">
        <f t="shared" ca="1" si="966"/>
        <v>0.9</v>
      </c>
      <c r="BM159" s="117">
        <f t="shared" ca="1" si="966"/>
        <v>1</v>
      </c>
      <c r="BN159" s="117">
        <f t="shared" ca="1" si="966"/>
        <v>1</v>
      </c>
      <c r="BO159" s="117">
        <f t="shared" ca="1" si="966"/>
        <v>1</v>
      </c>
      <c r="BP159" s="117">
        <f t="shared" ca="1" si="966"/>
        <v>1</v>
      </c>
      <c r="BQ159" s="117">
        <f t="shared" ca="1" si="966"/>
        <v>0.9</v>
      </c>
      <c r="BR159" s="117">
        <f t="shared" ca="1" si="966"/>
        <v>0.9</v>
      </c>
      <c r="BS159" s="117">
        <f t="shared" ca="1" si="966"/>
        <v>1.3</v>
      </c>
      <c r="BT159" s="117">
        <f t="shared" ca="1" si="966"/>
        <v>1.3</v>
      </c>
      <c r="BU159" s="117">
        <f t="shared" ca="1" si="966"/>
        <v>1.3</v>
      </c>
      <c r="BV159" s="278">
        <f t="shared" ca="1" si="966"/>
        <v>1.3</v>
      </c>
      <c r="BW159" s="280">
        <f t="shared" si="835"/>
        <v>3</v>
      </c>
      <c r="BX159" s="118">
        <f>IF($AN159="Ya",100%,100%+extraDelayZ)</f>
        <v>1</v>
      </c>
      <c r="BY159" s="263">
        <f t="shared" si="967"/>
        <v>1</v>
      </c>
      <c r="BZ159" s="264">
        <f t="shared" si="968"/>
        <v>1</v>
      </c>
      <c r="CA159" s="264">
        <f t="shared" si="969"/>
        <v>1</v>
      </c>
      <c r="CB159" s="264">
        <f t="shared" si="970"/>
        <v>1</v>
      </c>
      <c r="CC159" s="264">
        <f t="shared" si="971"/>
        <v>1</v>
      </c>
      <c r="CD159" s="264">
        <f t="shared" si="972"/>
        <v>1</v>
      </c>
      <c r="CE159" s="264">
        <f t="shared" si="973"/>
        <v>1</v>
      </c>
      <c r="CF159" s="264">
        <f t="shared" si="974"/>
        <v>1</v>
      </c>
      <c r="CG159" s="264">
        <f t="shared" si="975"/>
        <v>1</v>
      </c>
      <c r="CH159" s="264">
        <f t="shared" si="976"/>
        <v>1</v>
      </c>
      <c r="CI159" s="264">
        <f t="shared" si="977"/>
        <v>1</v>
      </c>
      <c r="CJ159" s="265">
        <f t="shared" si="978"/>
        <v>1</v>
      </c>
      <c r="CK159" s="269">
        <f t="array" ref="CK159">IF(ISERROR(SUM($K159:$V159*$BY159:$CJ159)/SUM($K159:$V159)),1,SUM($K159:$V159*$BY159:$CJ159)/SUM($K159:$V159))-1</f>
        <v>0</v>
      </c>
      <c r="CL159" s="234"/>
    </row>
    <row r="160" spans="1:90" ht="12.75" hidden="1" outlineLevel="1" x14ac:dyDescent="0.2">
      <c r="B160" s="404" t="str">
        <f t="shared" ca="1" si="946"/>
        <v>Пакет "Охват 1000К", 100%х90</v>
      </c>
      <c r="C160" s="649" t="str">
        <f t="shared" ca="1" si="947"/>
        <v>Пакет</v>
      </c>
      <c r="D160" s="405">
        <f t="shared" ca="1" si="948"/>
        <v>240</v>
      </c>
      <c r="E160" s="405">
        <f t="shared" ca="1" si="949"/>
        <v>240</v>
      </c>
      <c r="F160" s="405">
        <f t="shared" ca="1" si="950"/>
        <v>240</v>
      </c>
      <c r="G160" s="406">
        <f t="shared" ca="1" si="951"/>
        <v>240000</v>
      </c>
      <c r="H160" s="406">
        <f t="shared" ca="1" si="952"/>
        <v>240000</v>
      </c>
      <c r="I160" s="406">
        <f t="shared" ca="1" si="953"/>
        <v>0</v>
      </c>
      <c r="J160" s="407">
        <f t="shared" ca="1" si="954"/>
        <v>0</v>
      </c>
      <c r="K160" s="408"/>
      <c r="L160" s="409"/>
      <c r="M160" s="409"/>
      <c r="N160" s="409"/>
      <c r="O160" s="409"/>
      <c r="P160" s="409"/>
      <c r="Q160" s="409"/>
      <c r="R160" s="409"/>
      <c r="S160" s="409"/>
      <c r="T160" s="409"/>
      <c r="U160" s="409"/>
      <c r="V160" s="410"/>
      <c r="W160" s="406">
        <f t="shared" ca="1" si="832"/>
        <v>0</v>
      </c>
      <c r="X160" s="406"/>
      <c r="Y160" s="411"/>
      <c r="Z160" s="412">
        <f t="shared" si="955"/>
        <v>0</v>
      </c>
      <c r="AA160" s="413"/>
      <c r="AB160" s="413"/>
      <c r="AC160" s="413"/>
      <c r="AD160" s="413"/>
      <c r="AE160" s="413"/>
      <c r="AF160" s="413"/>
      <c r="AG160" s="413"/>
      <c r="AH160" s="413"/>
      <c r="AI160" s="413"/>
      <c r="AJ160" s="413"/>
      <c r="AK160" s="413"/>
      <c r="AL160" s="413"/>
      <c r="AM160" s="572"/>
      <c r="AN160" s="351" t="s">
        <v>64</v>
      </c>
      <c r="AO160" s="351" t="str">
        <f t="shared" si="833"/>
        <v>Passion.ru</v>
      </c>
      <c r="AP160" s="115">
        <f t="shared" si="883"/>
        <v>9</v>
      </c>
      <c r="AQ160" s="31">
        <f t="shared" ca="1" si="956"/>
        <v>0</v>
      </c>
      <c r="AR160" s="31" t="str">
        <f t="shared" ca="1" si="956"/>
        <v>-</v>
      </c>
      <c r="AS160" s="35">
        <v>0</v>
      </c>
      <c r="AT160" s="229">
        <v>0</v>
      </c>
      <c r="AU160" s="344">
        <f t="shared" ca="1" si="957"/>
        <v>240</v>
      </c>
      <c r="AV160" s="345">
        <f t="shared" ca="1" si="958"/>
        <v>240</v>
      </c>
      <c r="AW160" s="346">
        <f t="shared" ca="1" si="959"/>
        <v>240</v>
      </c>
      <c r="AX160" s="280"/>
      <c r="AY160" s="280"/>
      <c r="AZ160" s="347">
        <f t="shared" ca="1" si="960"/>
        <v>240000</v>
      </c>
      <c r="BA160" s="348">
        <f t="shared" ca="1" si="961"/>
        <v>240000</v>
      </c>
      <c r="BB160" s="347">
        <f t="shared" ca="1" si="962"/>
        <v>1000</v>
      </c>
      <c r="BC160" s="37" t="str">
        <f t="shared" ca="1" si="962"/>
        <v>Пакет</v>
      </c>
      <c r="BD160" s="229" t="str">
        <f t="shared" ca="1" si="963"/>
        <v>Пакет</v>
      </c>
      <c r="BE160" s="283">
        <f t="shared" ca="1" si="834"/>
        <v>0</v>
      </c>
      <c r="BF160" s="347">
        <f t="array" aca="1" ref="BF160" ca="1">SUM($K160:$V160*$BK160:$BV160)*$AZ160</f>
        <v>0</v>
      </c>
      <c r="BG160" s="347">
        <f t="array" aca="1" ref="BG160" ca="1">SUM($K160:$V160*$BY160:$CJ160*$BK160:$BV160)*$AZ160*$BX160</f>
        <v>0</v>
      </c>
      <c r="BH160" s="347">
        <f t="array" aca="1" ref="BH160" ca="1">SUM($K160:$V160*$BY160:$CJ160*$BK160:$BV160)*(1-$BE160)*$AZ160*$BX160</f>
        <v>0</v>
      </c>
      <c r="BI160" s="350">
        <f t="shared" ca="1" si="964"/>
        <v>0</v>
      </c>
      <c r="BJ160" s="275" t="str">
        <f t="shared" ca="1" si="965"/>
        <v>Да</v>
      </c>
      <c r="BK160" s="116">
        <f t="shared" ca="1" si="966"/>
        <v>0.8</v>
      </c>
      <c r="BL160" s="117">
        <f t="shared" ca="1" si="966"/>
        <v>0.9</v>
      </c>
      <c r="BM160" s="117">
        <f t="shared" ca="1" si="966"/>
        <v>1</v>
      </c>
      <c r="BN160" s="117">
        <f t="shared" ca="1" si="966"/>
        <v>1</v>
      </c>
      <c r="BO160" s="117">
        <f t="shared" ca="1" si="966"/>
        <v>1</v>
      </c>
      <c r="BP160" s="117">
        <f t="shared" ca="1" si="966"/>
        <v>1</v>
      </c>
      <c r="BQ160" s="117">
        <f t="shared" ca="1" si="966"/>
        <v>0.9</v>
      </c>
      <c r="BR160" s="117">
        <f t="shared" ca="1" si="966"/>
        <v>0.9</v>
      </c>
      <c r="BS160" s="117">
        <f t="shared" ca="1" si="966"/>
        <v>1.3</v>
      </c>
      <c r="BT160" s="117">
        <f t="shared" ca="1" si="966"/>
        <v>1.3</v>
      </c>
      <c r="BU160" s="117">
        <f t="shared" ca="1" si="966"/>
        <v>1.3</v>
      </c>
      <c r="BV160" s="278">
        <f t="shared" ca="1" si="966"/>
        <v>1.3</v>
      </c>
      <c r="BW160" s="280">
        <f t="shared" si="835"/>
        <v>4</v>
      </c>
      <c r="BX160" s="118">
        <f>IF($AN160="Ya",100%,100%+extraDelayZ)</f>
        <v>1</v>
      </c>
      <c r="BY160" s="263">
        <f t="shared" si="967"/>
        <v>1</v>
      </c>
      <c r="BZ160" s="264">
        <f t="shared" si="968"/>
        <v>1</v>
      </c>
      <c r="CA160" s="264">
        <f t="shared" si="969"/>
        <v>1</v>
      </c>
      <c r="CB160" s="264">
        <f t="shared" si="970"/>
        <v>1</v>
      </c>
      <c r="CC160" s="264">
        <f t="shared" si="971"/>
        <v>1</v>
      </c>
      <c r="CD160" s="264">
        <f t="shared" si="972"/>
        <v>1</v>
      </c>
      <c r="CE160" s="264">
        <f t="shared" si="973"/>
        <v>1</v>
      </c>
      <c r="CF160" s="264">
        <f t="shared" si="974"/>
        <v>1</v>
      </c>
      <c r="CG160" s="264">
        <f t="shared" si="975"/>
        <v>1</v>
      </c>
      <c r="CH160" s="264">
        <f t="shared" si="976"/>
        <v>1</v>
      </c>
      <c r="CI160" s="264">
        <f t="shared" si="977"/>
        <v>1</v>
      </c>
      <c r="CJ160" s="265">
        <f t="shared" si="978"/>
        <v>1</v>
      </c>
      <c r="CK160" s="269">
        <f t="array" ref="CK160">IF(ISERROR(SUM($K160:$V160*$BY160:$CJ160)/SUM($K160:$V160)),1,SUM($K160:$V160*$BY160:$CJ160)/SUM($K160:$V160))-1</f>
        <v>0</v>
      </c>
      <c r="CL160" s="234"/>
    </row>
    <row r="161" spans="1:90" ht="12.75" hidden="1" outlineLevel="1" x14ac:dyDescent="0.2">
      <c r="B161" s="404" t="str">
        <f t="shared" ca="1" si="946"/>
        <v>Пакет "Охват 1000К", 240x400</v>
      </c>
      <c r="C161" s="649" t="str">
        <f t="shared" ca="1" si="947"/>
        <v>Пакет</v>
      </c>
      <c r="D161" s="405">
        <f t="shared" ca="1" si="948"/>
        <v>300</v>
      </c>
      <c r="E161" s="405">
        <f t="shared" ca="1" si="949"/>
        <v>300</v>
      </c>
      <c r="F161" s="405">
        <f t="shared" ca="1" si="950"/>
        <v>300</v>
      </c>
      <c r="G161" s="406">
        <f t="shared" ca="1" si="951"/>
        <v>300000</v>
      </c>
      <c r="H161" s="406">
        <f t="shared" ca="1" si="952"/>
        <v>300000</v>
      </c>
      <c r="I161" s="406">
        <f t="shared" ca="1" si="953"/>
        <v>0</v>
      </c>
      <c r="J161" s="407">
        <f t="shared" ca="1" si="954"/>
        <v>0</v>
      </c>
      <c r="K161" s="408"/>
      <c r="L161" s="409"/>
      <c r="M161" s="409"/>
      <c r="N161" s="409"/>
      <c r="O161" s="409"/>
      <c r="P161" s="409"/>
      <c r="Q161" s="409"/>
      <c r="R161" s="409"/>
      <c r="S161" s="409"/>
      <c r="T161" s="409"/>
      <c r="U161" s="409"/>
      <c r="V161" s="410"/>
      <c r="W161" s="406">
        <f t="shared" ca="1" si="832"/>
        <v>0</v>
      </c>
      <c r="X161" s="406"/>
      <c r="Y161" s="411"/>
      <c r="Z161" s="412">
        <f t="shared" si="955"/>
        <v>0</v>
      </c>
      <c r="AA161" s="413"/>
      <c r="AB161" s="413"/>
      <c r="AC161" s="413"/>
      <c r="AD161" s="413"/>
      <c r="AE161" s="413"/>
      <c r="AF161" s="413"/>
      <c r="AG161" s="413"/>
      <c r="AH161" s="413"/>
      <c r="AI161" s="413"/>
      <c r="AJ161" s="413"/>
      <c r="AK161" s="413"/>
      <c r="AL161" s="413"/>
      <c r="AM161" s="572"/>
      <c r="AN161" s="351" t="s">
        <v>64</v>
      </c>
      <c r="AO161" s="351" t="str">
        <f t="shared" si="833"/>
        <v>Passion.ru</v>
      </c>
      <c r="AP161" s="115">
        <f t="shared" si="883"/>
        <v>9</v>
      </c>
      <c r="AQ161" s="31">
        <f t="shared" ca="1" si="956"/>
        <v>0.25</v>
      </c>
      <c r="AR161" s="31" t="str">
        <f t="shared" ca="1" si="956"/>
        <v>-</v>
      </c>
      <c r="AS161" s="35">
        <v>0</v>
      </c>
      <c r="AT161" s="229">
        <v>0</v>
      </c>
      <c r="AU161" s="344">
        <f t="shared" ca="1" si="957"/>
        <v>300</v>
      </c>
      <c r="AV161" s="345">
        <f t="shared" ca="1" si="958"/>
        <v>300</v>
      </c>
      <c r="AW161" s="346">
        <f t="shared" ca="1" si="959"/>
        <v>300</v>
      </c>
      <c r="AX161" s="280"/>
      <c r="AY161" s="280"/>
      <c r="AZ161" s="347">
        <f t="shared" ca="1" si="960"/>
        <v>300000</v>
      </c>
      <c r="BA161" s="348">
        <f t="shared" ca="1" si="961"/>
        <v>300000</v>
      </c>
      <c r="BB161" s="347">
        <f t="shared" ca="1" si="962"/>
        <v>1000</v>
      </c>
      <c r="BC161" s="37" t="str">
        <f t="shared" ca="1" si="962"/>
        <v>Пакет</v>
      </c>
      <c r="BD161" s="229" t="str">
        <f t="shared" ca="1" si="963"/>
        <v>Пакет</v>
      </c>
      <c r="BE161" s="283">
        <f t="shared" ca="1" si="834"/>
        <v>0</v>
      </c>
      <c r="BF161" s="347">
        <f t="array" aca="1" ref="BF161" ca="1">SUM($K161:$V161*$BK161:$BV161)*$AZ161</f>
        <v>0</v>
      </c>
      <c r="BG161" s="347">
        <f t="array" aca="1" ref="BG161" ca="1">SUM($K161:$V161*$BY161:$CJ161*$BK161:$BV161)*$AZ161*$BX161</f>
        <v>0</v>
      </c>
      <c r="BH161" s="347">
        <f t="array" aca="1" ref="BH161" ca="1">SUM($K161:$V161*$BY161:$CJ161*$BK161:$BV161)*(1-$BE161)*$AZ161*$BX161</f>
        <v>0</v>
      </c>
      <c r="BI161" s="350">
        <f t="shared" ca="1" si="964"/>
        <v>0</v>
      </c>
      <c r="BJ161" s="275" t="str">
        <f t="shared" ca="1" si="965"/>
        <v>Да</v>
      </c>
      <c r="BK161" s="116">
        <f t="shared" ca="1" si="966"/>
        <v>0.8</v>
      </c>
      <c r="BL161" s="117">
        <f t="shared" ca="1" si="966"/>
        <v>0.9</v>
      </c>
      <c r="BM161" s="117">
        <f t="shared" ca="1" si="966"/>
        <v>1</v>
      </c>
      <c r="BN161" s="117">
        <f t="shared" ca="1" si="966"/>
        <v>1</v>
      </c>
      <c r="BO161" s="117">
        <f t="shared" ca="1" si="966"/>
        <v>1</v>
      </c>
      <c r="BP161" s="117">
        <f t="shared" ca="1" si="966"/>
        <v>1</v>
      </c>
      <c r="BQ161" s="117">
        <f t="shared" ca="1" si="966"/>
        <v>0.9</v>
      </c>
      <c r="BR161" s="117">
        <f t="shared" ca="1" si="966"/>
        <v>0.9</v>
      </c>
      <c r="BS161" s="117">
        <f t="shared" ca="1" si="966"/>
        <v>1.3</v>
      </c>
      <c r="BT161" s="117">
        <f t="shared" ca="1" si="966"/>
        <v>1.3</v>
      </c>
      <c r="BU161" s="117">
        <f t="shared" ca="1" si="966"/>
        <v>1.3</v>
      </c>
      <c r="BV161" s="278">
        <f t="shared" ca="1" si="966"/>
        <v>1.3</v>
      </c>
      <c r="BW161" s="280">
        <f t="shared" si="835"/>
        <v>5</v>
      </c>
      <c r="BX161" s="118">
        <f>IF($AN161="Ya",100%,100%+extraDelayZ)</f>
        <v>1</v>
      </c>
      <c r="BY161" s="263">
        <f t="shared" si="967"/>
        <v>1</v>
      </c>
      <c r="BZ161" s="264">
        <f t="shared" si="968"/>
        <v>1</v>
      </c>
      <c r="CA161" s="264">
        <f t="shared" si="969"/>
        <v>1</v>
      </c>
      <c r="CB161" s="264">
        <f t="shared" si="970"/>
        <v>1</v>
      </c>
      <c r="CC161" s="264">
        <f t="shared" si="971"/>
        <v>1</v>
      </c>
      <c r="CD161" s="264">
        <f t="shared" si="972"/>
        <v>1</v>
      </c>
      <c r="CE161" s="264">
        <f t="shared" si="973"/>
        <v>1</v>
      </c>
      <c r="CF161" s="264">
        <f t="shared" si="974"/>
        <v>1</v>
      </c>
      <c r="CG161" s="264">
        <f t="shared" si="975"/>
        <v>1</v>
      </c>
      <c r="CH161" s="264">
        <f t="shared" si="976"/>
        <v>1</v>
      </c>
      <c r="CI161" s="264">
        <f t="shared" si="977"/>
        <v>1</v>
      </c>
      <c r="CJ161" s="265">
        <f t="shared" si="978"/>
        <v>1</v>
      </c>
      <c r="CK161" s="269">
        <f t="array" ref="CK161">IF(ISERROR(SUM($K161:$V161*$BY161:$CJ161)/SUM($K161:$V161)),1,SUM($K161:$V161*$BY161:$CJ161)/SUM($K161:$V161))-1</f>
        <v>0</v>
      </c>
      <c r="CL161" s="234"/>
    </row>
    <row r="162" spans="1:90" ht="12.75" hidden="1" outlineLevel="1" x14ac:dyDescent="0.2">
      <c r="B162" s="404" t="str">
        <f t="shared" ca="1" si="946"/>
        <v>Пакет "Охват 2000K", 100%х90 (Passion.ru + Wmj.ru)</v>
      </c>
      <c r="C162" s="649" t="str">
        <f t="shared" ca="1" si="947"/>
        <v>Пакет</v>
      </c>
      <c r="D162" s="405">
        <f t="shared" ca="1" si="948"/>
        <v>200</v>
      </c>
      <c r="E162" s="405">
        <f t="shared" ca="1" si="949"/>
        <v>200</v>
      </c>
      <c r="F162" s="405">
        <f t="shared" ca="1" si="950"/>
        <v>200</v>
      </c>
      <c r="G162" s="406">
        <f t="shared" ca="1" si="951"/>
        <v>400000</v>
      </c>
      <c r="H162" s="406">
        <f t="shared" ca="1" si="952"/>
        <v>400000</v>
      </c>
      <c r="I162" s="406">
        <f t="shared" ca="1" si="953"/>
        <v>0</v>
      </c>
      <c r="J162" s="407">
        <f t="shared" ca="1" si="954"/>
        <v>0</v>
      </c>
      <c r="K162" s="408"/>
      <c r="L162" s="409"/>
      <c r="M162" s="409"/>
      <c r="N162" s="409"/>
      <c r="O162" s="409"/>
      <c r="P162" s="409"/>
      <c r="Q162" s="409"/>
      <c r="R162" s="409"/>
      <c r="S162" s="409"/>
      <c r="T162" s="409"/>
      <c r="U162" s="409"/>
      <c r="V162" s="410"/>
      <c r="W162" s="406">
        <f t="shared" ca="1" si="832"/>
        <v>0</v>
      </c>
      <c r="X162" s="406"/>
      <c r="Y162" s="411"/>
      <c r="Z162" s="412">
        <f t="shared" si="955"/>
        <v>0</v>
      </c>
      <c r="AA162" s="413"/>
      <c r="AB162" s="413"/>
      <c r="AC162" s="413"/>
      <c r="AD162" s="413"/>
      <c r="AE162" s="413"/>
      <c r="AF162" s="413"/>
      <c r="AG162" s="413"/>
      <c r="AH162" s="413"/>
      <c r="AI162" s="413"/>
      <c r="AJ162" s="413"/>
      <c r="AK162" s="413"/>
      <c r="AL162" s="413"/>
      <c r="AM162" s="572"/>
      <c r="AN162" s="351" t="s">
        <v>64</v>
      </c>
      <c r="AO162" s="351" t="str">
        <f t="shared" si="833"/>
        <v>Passion.ru</v>
      </c>
      <c r="AP162" s="115">
        <f t="shared" si="883"/>
        <v>9</v>
      </c>
      <c r="AQ162" s="31">
        <f t="shared" ca="1" si="956"/>
        <v>0</v>
      </c>
      <c r="AR162" s="31" t="str">
        <f t="shared" ca="1" si="956"/>
        <v>-</v>
      </c>
      <c r="AS162" s="35">
        <v>0</v>
      </c>
      <c r="AT162" s="229">
        <v>0</v>
      </c>
      <c r="AU162" s="344">
        <f t="shared" ca="1" si="957"/>
        <v>200</v>
      </c>
      <c r="AV162" s="345">
        <f t="shared" ca="1" si="958"/>
        <v>200</v>
      </c>
      <c r="AW162" s="346">
        <f t="shared" ca="1" si="959"/>
        <v>200</v>
      </c>
      <c r="AX162" s="280"/>
      <c r="AY162" s="280"/>
      <c r="AZ162" s="347">
        <f t="shared" ca="1" si="960"/>
        <v>400000</v>
      </c>
      <c r="BA162" s="348">
        <f t="shared" ca="1" si="961"/>
        <v>400000</v>
      </c>
      <c r="BB162" s="347">
        <f t="shared" ca="1" si="962"/>
        <v>2000</v>
      </c>
      <c r="BC162" s="37" t="str">
        <f t="shared" ca="1" si="962"/>
        <v>Пакет</v>
      </c>
      <c r="BD162" s="229" t="str">
        <f t="shared" ca="1" si="963"/>
        <v>Пакет</v>
      </c>
      <c r="BE162" s="283">
        <f t="shared" ca="1" si="834"/>
        <v>0</v>
      </c>
      <c r="BF162" s="347">
        <f t="array" aca="1" ref="BF162" ca="1">SUM($K162:$V162*$BK162:$BV162)*$AZ162</f>
        <v>0</v>
      </c>
      <c r="BG162" s="347">
        <f t="array" aca="1" ref="BG162" ca="1">SUM($K162:$V162*$BY162:$CJ162*$BK162:$BV162)*$AZ162*$BX162</f>
        <v>0</v>
      </c>
      <c r="BH162" s="347">
        <f t="array" aca="1" ref="BH162" ca="1">SUM($K162:$V162*$BY162:$CJ162*$BK162:$BV162)*(1-$BE162)*$AZ162*$BX162</f>
        <v>0</v>
      </c>
      <c r="BI162" s="350">
        <f t="shared" ca="1" si="964"/>
        <v>0</v>
      </c>
      <c r="BJ162" s="275" t="str">
        <f t="shared" ca="1" si="965"/>
        <v>Да</v>
      </c>
      <c r="BK162" s="116">
        <f t="shared" ca="1" si="966"/>
        <v>0.8</v>
      </c>
      <c r="BL162" s="117">
        <f t="shared" ca="1" si="966"/>
        <v>0.9</v>
      </c>
      <c r="BM162" s="117">
        <f t="shared" ca="1" si="966"/>
        <v>1</v>
      </c>
      <c r="BN162" s="117">
        <f t="shared" ca="1" si="966"/>
        <v>1</v>
      </c>
      <c r="BO162" s="117">
        <f t="shared" ca="1" si="966"/>
        <v>1</v>
      </c>
      <c r="BP162" s="117">
        <f t="shared" ca="1" si="966"/>
        <v>1</v>
      </c>
      <c r="BQ162" s="117">
        <f t="shared" ca="1" si="966"/>
        <v>0.9</v>
      </c>
      <c r="BR162" s="117">
        <f t="shared" ca="1" si="966"/>
        <v>0.9</v>
      </c>
      <c r="BS162" s="117">
        <f t="shared" ca="1" si="966"/>
        <v>1.3</v>
      </c>
      <c r="BT162" s="117">
        <f t="shared" ca="1" si="966"/>
        <v>1.3</v>
      </c>
      <c r="BU162" s="117">
        <f t="shared" ca="1" si="966"/>
        <v>1.3</v>
      </c>
      <c r="BV162" s="278">
        <f t="shared" ca="1" si="966"/>
        <v>1.3</v>
      </c>
      <c r="BW162" s="280">
        <f t="shared" si="835"/>
        <v>6</v>
      </c>
      <c r="BX162" s="118">
        <f>IF($AN162="Ya",100%,100%+extraDelayZ)</f>
        <v>1</v>
      </c>
      <c r="BY162" s="263">
        <f t="shared" si="967"/>
        <v>1</v>
      </c>
      <c r="BZ162" s="264">
        <f t="shared" si="968"/>
        <v>1</v>
      </c>
      <c r="CA162" s="264">
        <f t="shared" si="969"/>
        <v>1</v>
      </c>
      <c r="CB162" s="264">
        <f t="shared" si="970"/>
        <v>1</v>
      </c>
      <c r="CC162" s="264">
        <f t="shared" si="971"/>
        <v>1</v>
      </c>
      <c r="CD162" s="264">
        <f t="shared" si="972"/>
        <v>1</v>
      </c>
      <c r="CE162" s="264">
        <f t="shared" si="973"/>
        <v>1</v>
      </c>
      <c r="CF162" s="264">
        <f t="shared" si="974"/>
        <v>1</v>
      </c>
      <c r="CG162" s="264">
        <f t="shared" si="975"/>
        <v>1</v>
      </c>
      <c r="CH162" s="264">
        <f t="shared" si="976"/>
        <v>1</v>
      </c>
      <c r="CI162" s="264">
        <f t="shared" si="977"/>
        <v>1</v>
      </c>
      <c r="CJ162" s="265">
        <f t="shared" si="978"/>
        <v>1</v>
      </c>
      <c r="CK162" s="269">
        <f t="array" ref="CK162">IF(ISERROR(SUM($K162:$V162*$BY162:$CJ162)/SUM($K162:$V162)),1,SUM($K162:$V162*$BY162:$CJ162)/SUM($K162:$V162))-1</f>
        <v>0</v>
      </c>
      <c r="CL162" s="234"/>
    </row>
    <row r="163" spans="1:90" ht="12.75" hidden="1" outlineLevel="1" x14ac:dyDescent="0.2">
      <c r="B163" s="404" t="str">
        <f t="shared" ca="1" si="946"/>
        <v>Пакет "Охват 2000K", 240x400 (Passion.ru + Wmj.ru)</v>
      </c>
      <c r="C163" s="649" t="str">
        <f t="shared" ca="1" si="947"/>
        <v>Пакет</v>
      </c>
      <c r="D163" s="405">
        <f t="shared" ca="1" si="948"/>
        <v>250</v>
      </c>
      <c r="E163" s="405">
        <f t="shared" ca="1" si="949"/>
        <v>250</v>
      </c>
      <c r="F163" s="405">
        <f t="shared" ca="1" si="950"/>
        <v>250</v>
      </c>
      <c r="G163" s="406">
        <f t="shared" ca="1" si="951"/>
        <v>500000</v>
      </c>
      <c r="H163" s="406">
        <f t="shared" ca="1" si="952"/>
        <v>500000</v>
      </c>
      <c r="I163" s="406">
        <f t="shared" ca="1" si="953"/>
        <v>0</v>
      </c>
      <c r="J163" s="407">
        <f t="shared" ca="1" si="954"/>
        <v>0</v>
      </c>
      <c r="K163" s="408"/>
      <c r="L163" s="409"/>
      <c r="M163" s="409"/>
      <c r="N163" s="409"/>
      <c r="O163" s="409"/>
      <c r="P163" s="409"/>
      <c r="Q163" s="409"/>
      <c r="R163" s="409"/>
      <c r="S163" s="409"/>
      <c r="T163" s="409"/>
      <c r="U163" s="409"/>
      <c r="V163" s="410"/>
      <c r="W163" s="406">
        <f t="shared" ca="1" si="832"/>
        <v>0</v>
      </c>
      <c r="X163" s="406"/>
      <c r="Y163" s="411"/>
      <c r="Z163" s="412">
        <f t="shared" si="955"/>
        <v>0</v>
      </c>
      <c r="AA163" s="413"/>
      <c r="AB163" s="413"/>
      <c r="AC163" s="413"/>
      <c r="AD163" s="413"/>
      <c r="AE163" s="413"/>
      <c r="AF163" s="413"/>
      <c r="AG163" s="413"/>
      <c r="AH163" s="413"/>
      <c r="AI163" s="413"/>
      <c r="AJ163" s="413"/>
      <c r="AK163" s="413"/>
      <c r="AL163" s="413"/>
      <c r="AM163" s="572"/>
      <c r="AN163" s="351" t="s">
        <v>64</v>
      </c>
      <c r="AO163" s="351" t="str">
        <f t="shared" si="833"/>
        <v>Passion.ru</v>
      </c>
      <c r="AP163" s="115">
        <f t="shared" si="883"/>
        <v>9</v>
      </c>
      <c r="AQ163" s="31">
        <f t="shared" ca="1" si="956"/>
        <v>0.25</v>
      </c>
      <c r="AR163" s="31" t="str">
        <f t="shared" ca="1" si="956"/>
        <v>-</v>
      </c>
      <c r="AS163" s="35">
        <v>0</v>
      </c>
      <c r="AT163" s="229">
        <v>0</v>
      </c>
      <c r="AU163" s="344">
        <f t="shared" ca="1" si="957"/>
        <v>250</v>
      </c>
      <c r="AV163" s="345">
        <f t="shared" ca="1" si="958"/>
        <v>250</v>
      </c>
      <c r="AW163" s="346">
        <f t="shared" ca="1" si="959"/>
        <v>250</v>
      </c>
      <c r="AX163" s="280"/>
      <c r="AY163" s="280"/>
      <c r="AZ163" s="347">
        <f t="shared" ca="1" si="960"/>
        <v>500000</v>
      </c>
      <c r="BA163" s="348">
        <f t="shared" ca="1" si="961"/>
        <v>500000</v>
      </c>
      <c r="BB163" s="347">
        <f t="shared" ca="1" si="962"/>
        <v>2000</v>
      </c>
      <c r="BC163" s="37" t="str">
        <f t="shared" ca="1" si="962"/>
        <v>Пакет</v>
      </c>
      <c r="BD163" s="229" t="str">
        <f t="shared" ca="1" si="963"/>
        <v>Пакет</v>
      </c>
      <c r="BE163" s="283">
        <f t="shared" ca="1" si="834"/>
        <v>0</v>
      </c>
      <c r="BF163" s="347">
        <f t="array" aca="1" ref="BF163" ca="1">SUM($K163:$V163*$BK163:$BV163)*$AZ163</f>
        <v>0</v>
      </c>
      <c r="BG163" s="347">
        <f t="array" aca="1" ref="BG163" ca="1">SUM($K163:$V163*$BY163:$CJ163*$BK163:$BV163)*$AZ163*$BX163</f>
        <v>0</v>
      </c>
      <c r="BH163" s="347">
        <f t="array" aca="1" ref="BH163" ca="1">SUM($K163:$V163*$BY163:$CJ163*$BK163:$BV163)*(1-$BE163)*$AZ163*$BX163</f>
        <v>0</v>
      </c>
      <c r="BI163" s="350">
        <f t="shared" ca="1" si="964"/>
        <v>0</v>
      </c>
      <c r="BJ163" s="275" t="str">
        <f t="shared" ca="1" si="965"/>
        <v>Да</v>
      </c>
      <c r="BK163" s="116">
        <f t="shared" ca="1" si="966"/>
        <v>0.8</v>
      </c>
      <c r="BL163" s="117">
        <f t="shared" ca="1" si="966"/>
        <v>0.9</v>
      </c>
      <c r="BM163" s="117">
        <f t="shared" ca="1" si="966"/>
        <v>1</v>
      </c>
      <c r="BN163" s="117">
        <f t="shared" ca="1" si="966"/>
        <v>1</v>
      </c>
      <c r="BO163" s="117">
        <f t="shared" ca="1" si="966"/>
        <v>1</v>
      </c>
      <c r="BP163" s="117">
        <f t="shared" ca="1" si="966"/>
        <v>1</v>
      </c>
      <c r="BQ163" s="117">
        <f t="shared" ca="1" si="966"/>
        <v>0.9</v>
      </c>
      <c r="BR163" s="117">
        <f t="shared" ca="1" si="966"/>
        <v>0.9</v>
      </c>
      <c r="BS163" s="117">
        <f t="shared" ca="1" si="966"/>
        <v>1.3</v>
      </c>
      <c r="BT163" s="117">
        <f t="shared" ca="1" si="966"/>
        <v>1.3</v>
      </c>
      <c r="BU163" s="117">
        <f t="shared" ca="1" si="966"/>
        <v>1.3</v>
      </c>
      <c r="BV163" s="278">
        <f t="shared" ca="1" si="966"/>
        <v>1.3</v>
      </c>
      <c r="BW163" s="280">
        <f t="shared" si="835"/>
        <v>7</v>
      </c>
      <c r="BX163" s="118">
        <f>IF($AN163="Ya",100%,100%+extraDelayZ)</f>
        <v>1</v>
      </c>
      <c r="BY163" s="263">
        <f t="shared" si="967"/>
        <v>1</v>
      </c>
      <c r="BZ163" s="264">
        <f t="shared" si="968"/>
        <v>1</v>
      </c>
      <c r="CA163" s="264">
        <f t="shared" si="969"/>
        <v>1</v>
      </c>
      <c r="CB163" s="264">
        <f t="shared" si="970"/>
        <v>1</v>
      </c>
      <c r="CC163" s="264">
        <f t="shared" si="971"/>
        <v>1</v>
      </c>
      <c r="CD163" s="264">
        <f t="shared" si="972"/>
        <v>1</v>
      </c>
      <c r="CE163" s="264">
        <f t="shared" si="973"/>
        <v>1</v>
      </c>
      <c r="CF163" s="264">
        <f t="shared" si="974"/>
        <v>1</v>
      </c>
      <c r="CG163" s="264">
        <f t="shared" si="975"/>
        <v>1</v>
      </c>
      <c r="CH163" s="264">
        <f t="shared" si="976"/>
        <v>1</v>
      </c>
      <c r="CI163" s="264">
        <f t="shared" si="977"/>
        <v>1</v>
      </c>
      <c r="CJ163" s="265">
        <f t="shared" si="978"/>
        <v>1</v>
      </c>
      <c r="CK163" s="269">
        <f t="array" ref="CK163">IF(ISERROR(SUM($K163:$V163*$BY163:$CJ163)/SUM($K163:$V163)),1,SUM($K163:$V163*$BY163:$CJ163)/SUM($K163:$V163))-1</f>
        <v>0</v>
      </c>
      <c r="CL163" s="234"/>
    </row>
    <row r="164" spans="1:90" ht="12.75" hidden="1" outlineLevel="1" x14ac:dyDescent="0.2">
      <c r="B164" s="404" t="str">
        <f t="shared" ca="1" si="946"/>
        <v>Пакет "Тизер", Текстово-графический блок</v>
      </c>
      <c r="C164" s="649" t="str">
        <f t="shared" ca="1" si="947"/>
        <v>Нед</v>
      </c>
      <c r="D164" s="405">
        <f t="shared" ca="1" si="948"/>
        <v>50</v>
      </c>
      <c r="E164" s="405">
        <f t="shared" ca="1" si="949"/>
        <v>50</v>
      </c>
      <c r="F164" s="405">
        <f t="shared" ca="1" si="950"/>
        <v>50</v>
      </c>
      <c r="G164" s="406">
        <f t="shared" ca="1" si="951"/>
        <v>250000</v>
      </c>
      <c r="H164" s="406">
        <f t="shared" ca="1" si="952"/>
        <v>250000</v>
      </c>
      <c r="I164" s="406">
        <f t="shared" ca="1" si="953"/>
        <v>0</v>
      </c>
      <c r="J164" s="407">
        <f t="shared" ca="1" si="954"/>
        <v>0</v>
      </c>
      <c r="K164" s="408"/>
      <c r="L164" s="409"/>
      <c r="M164" s="409"/>
      <c r="N164" s="409"/>
      <c r="O164" s="409"/>
      <c r="P164" s="409"/>
      <c r="Q164" s="409"/>
      <c r="R164" s="409"/>
      <c r="S164" s="409"/>
      <c r="T164" s="409"/>
      <c r="U164" s="409"/>
      <c r="V164" s="410"/>
      <c r="W164" s="406">
        <f t="shared" ca="1" si="832"/>
        <v>0</v>
      </c>
      <c r="X164" s="406"/>
      <c r="Y164" s="411"/>
      <c r="Z164" s="412">
        <f t="shared" si="955"/>
        <v>0</v>
      </c>
      <c r="AA164" s="413"/>
      <c r="AB164" s="413"/>
      <c r="AC164" s="413"/>
      <c r="AD164" s="413"/>
      <c r="AE164" s="413"/>
      <c r="AF164" s="413"/>
      <c r="AG164" s="413"/>
      <c r="AH164" s="413"/>
      <c r="AI164" s="413"/>
      <c r="AJ164" s="413"/>
      <c r="AK164" s="413"/>
      <c r="AL164" s="413"/>
      <c r="AM164" s="572"/>
      <c r="AN164" s="351" t="s">
        <v>64</v>
      </c>
      <c r="AO164" s="351" t="str">
        <f t="shared" si="833"/>
        <v>Passion.ru</v>
      </c>
      <c r="AP164" s="115">
        <f t="shared" si="883"/>
        <v>9</v>
      </c>
      <c r="AQ164" s="31" t="str">
        <f t="shared" ca="1" si="956"/>
        <v>-</v>
      </c>
      <c r="AR164" s="31" t="str">
        <f t="shared" ca="1" si="956"/>
        <v>-</v>
      </c>
      <c r="AS164" s="35">
        <v>0</v>
      </c>
      <c r="AT164" s="229">
        <v>0</v>
      </c>
      <c r="AU164" s="344">
        <f t="shared" ca="1" si="957"/>
        <v>50</v>
      </c>
      <c r="AV164" s="345">
        <f t="shared" ca="1" si="958"/>
        <v>50</v>
      </c>
      <c r="AW164" s="346">
        <f t="shared" ca="1" si="959"/>
        <v>50</v>
      </c>
      <c r="AX164" s="280"/>
      <c r="AY164" s="280"/>
      <c r="AZ164" s="347">
        <f t="shared" ca="1" si="960"/>
        <v>250000</v>
      </c>
      <c r="BA164" s="348">
        <f t="shared" ca="1" si="961"/>
        <v>250000</v>
      </c>
      <c r="BB164" s="347">
        <f t="shared" ca="1" si="962"/>
        <v>5000</v>
      </c>
      <c r="BC164" s="37" t="str">
        <f t="shared" ca="1" si="962"/>
        <v>Неделя</v>
      </c>
      <c r="BD164" s="229" t="str">
        <f t="shared" ca="1" si="963"/>
        <v>Нед</v>
      </c>
      <c r="BE164" s="283">
        <f t="shared" ca="1" si="834"/>
        <v>0</v>
      </c>
      <c r="BF164" s="347">
        <f t="array" aca="1" ref="BF164" ca="1">SUM($K164:$V164*$BK164:$BV164)*$AZ164</f>
        <v>0</v>
      </c>
      <c r="BG164" s="347">
        <f t="array" aca="1" ref="BG164" ca="1">SUM($K164:$V164*$BY164:$CJ164*$BK164:$BV164)*$AZ164*$BX164</f>
        <v>0</v>
      </c>
      <c r="BH164" s="347">
        <f t="array" aca="1" ref="BH164" ca="1">SUM($K164:$V164*$BY164:$CJ164*$BK164:$BV164)*(1-$BE164)*$AZ164*$BX164</f>
        <v>0</v>
      </c>
      <c r="BI164" s="350">
        <f t="shared" ca="1" si="964"/>
        <v>0</v>
      </c>
      <c r="BJ164" s="275" t="str">
        <f t="shared" ca="1" si="965"/>
        <v>Да</v>
      </c>
      <c r="BK164" s="116">
        <f t="shared" ca="1" si="966"/>
        <v>0.8</v>
      </c>
      <c r="BL164" s="117">
        <f t="shared" ca="1" si="966"/>
        <v>0.9</v>
      </c>
      <c r="BM164" s="117">
        <f t="shared" ca="1" si="966"/>
        <v>1</v>
      </c>
      <c r="BN164" s="117">
        <f t="shared" ca="1" si="966"/>
        <v>1</v>
      </c>
      <c r="BO164" s="117">
        <f t="shared" ca="1" si="966"/>
        <v>1</v>
      </c>
      <c r="BP164" s="117">
        <f t="shared" ca="1" si="966"/>
        <v>1</v>
      </c>
      <c r="BQ164" s="117">
        <f t="shared" ca="1" si="966"/>
        <v>0.9</v>
      </c>
      <c r="BR164" s="117">
        <f t="shared" ca="1" si="966"/>
        <v>0.9</v>
      </c>
      <c r="BS164" s="117">
        <f t="shared" ca="1" si="966"/>
        <v>1.3</v>
      </c>
      <c r="BT164" s="117">
        <f t="shared" ca="1" si="966"/>
        <v>1.3</v>
      </c>
      <c r="BU164" s="117">
        <f t="shared" ca="1" si="966"/>
        <v>1.3</v>
      </c>
      <c r="BV164" s="278">
        <f t="shared" ca="1" si="966"/>
        <v>1.3</v>
      </c>
      <c r="BW164" s="280">
        <f t="shared" si="835"/>
        <v>8</v>
      </c>
      <c r="BX164" s="118">
        <f>IF($AN164="Ya",100%,100%+extraDelayZ)</f>
        <v>1</v>
      </c>
      <c r="BY164" s="263">
        <f t="shared" si="967"/>
        <v>1</v>
      </c>
      <c r="BZ164" s="264">
        <f t="shared" si="968"/>
        <v>1</v>
      </c>
      <c r="CA164" s="264">
        <f t="shared" si="969"/>
        <v>1</v>
      </c>
      <c r="CB164" s="264">
        <f t="shared" si="970"/>
        <v>1</v>
      </c>
      <c r="CC164" s="264">
        <f t="shared" si="971"/>
        <v>1</v>
      </c>
      <c r="CD164" s="264">
        <f t="shared" si="972"/>
        <v>1</v>
      </c>
      <c r="CE164" s="264">
        <f t="shared" si="973"/>
        <v>1</v>
      </c>
      <c r="CF164" s="264">
        <f t="shared" si="974"/>
        <v>1</v>
      </c>
      <c r="CG164" s="264">
        <f t="shared" si="975"/>
        <v>1</v>
      </c>
      <c r="CH164" s="264">
        <f t="shared" si="976"/>
        <v>1</v>
      </c>
      <c r="CI164" s="264">
        <f t="shared" si="977"/>
        <v>1</v>
      </c>
      <c r="CJ164" s="265">
        <f t="shared" si="978"/>
        <v>1</v>
      </c>
      <c r="CK164" s="269">
        <f t="array" ref="CK164">IF(ISERROR(SUM($K164:$V164*$BY164:$CJ164)/SUM($K164:$V164)),1,SUM($K164:$V164*$BY164:$CJ164)/SUM($K164:$V164))-1</f>
        <v>0</v>
      </c>
      <c r="CL164" s="234"/>
    </row>
    <row r="165" spans="1:90" ht="12.75" hidden="1" outlineLevel="1" x14ac:dyDescent="0.2">
      <c r="B165" s="414" t="str">
        <f t="shared" ca="1" si="946"/>
        <v>Все страницы, FullScreen, F=1</v>
      </c>
      <c r="C165" s="649" t="str">
        <f t="shared" ca="1" si="947"/>
        <v>х1000</v>
      </c>
      <c r="D165" s="415">
        <f t="shared" ca="1" si="948"/>
        <v>2000</v>
      </c>
      <c r="E165" s="415">
        <f t="shared" ca="1" si="949"/>
        <v>2000</v>
      </c>
      <c r="F165" s="415">
        <f t="shared" ca="1" si="950"/>
        <v>2000</v>
      </c>
      <c r="G165" s="416">
        <f t="shared" ca="1" si="951"/>
        <v>2000</v>
      </c>
      <c r="H165" s="416">
        <f t="shared" ca="1" si="952"/>
        <v>2000</v>
      </c>
      <c r="I165" s="406">
        <f t="shared" ca="1" si="953"/>
        <v>0</v>
      </c>
      <c r="J165" s="407">
        <f t="shared" ca="1" si="954"/>
        <v>0</v>
      </c>
      <c r="K165" s="417"/>
      <c r="L165" s="418"/>
      <c r="M165" s="418"/>
      <c r="N165" s="418"/>
      <c r="O165" s="418"/>
      <c r="P165" s="418"/>
      <c r="Q165" s="418"/>
      <c r="R165" s="418"/>
      <c r="S165" s="418"/>
      <c r="T165" s="418"/>
      <c r="U165" s="418"/>
      <c r="V165" s="419"/>
      <c r="W165" s="416">
        <f t="shared" ca="1" si="832"/>
        <v>0</v>
      </c>
      <c r="X165" s="416"/>
      <c r="Y165" s="420"/>
      <c r="Z165" s="412">
        <f t="shared" si="955"/>
        <v>0</v>
      </c>
      <c r="AA165" s="421"/>
      <c r="AB165" s="421"/>
      <c r="AC165" s="421"/>
      <c r="AD165" s="421"/>
      <c r="AE165" s="421"/>
      <c r="AF165" s="421"/>
      <c r="AG165" s="421"/>
      <c r="AH165" s="421"/>
      <c r="AI165" s="421"/>
      <c r="AJ165" s="421"/>
      <c r="AK165" s="421"/>
      <c r="AL165" s="421"/>
      <c r="AM165" s="573"/>
      <c r="AN165" s="351" t="s">
        <v>64</v>
      </c>
      <c r="AO165" s="351" t="str">
        <f t="shared" si="833"/>
        <v>Passion.ru</v>
      </c>
      <c r="AP165" s="115">
        <f t="shared" si="883"/>
        <v>9</v>
      </c>
      <c r="AQ165" s="31" t="str">
        <f t="shared" ca="1" si="956"/>
        <v>-</v>
      </c>
      <c r="AR165" s="31" t="str">
        <f t="shared" ca="1" si="956"/>
        <v>Вкл</v>
      </c>
      <c r="AS165" s="35">
        <v>0</v>
      </c>
      <c r="AT165" s="229">
        <v>0</v>
      </c>
      <c r="AU165" s="344">
        <f t="shared" ca="1" si="957"/>
        <v>2000</v>
      </c>
      <c r="AV165" s="345">
        <f t="shared" ca="1" si="958"/>
        <v>2000</v>
      </c>
      <c r="AW165" s="346">
        <f t="shared" ca="1" si="959"/>
        <v>2000</v>
      </c>
      <c r="AX165" s="280"/>
      <c r="AY165" s="280"/>
      <c r="AZ165" s="347">
        <f t="shared" ca="1" si="960"/>
        <v>2000</v>
      </c>
      <c r="BA165" s="348">
        <f t="shared" ca="1" si="961"/>
        <v>2000</v>
      </c>
      <c r="BB165" s="347">
        <f t="shared" ca="1" si="962"/>
        <v>1</v>
      </c>
      <c r="BC165" s="37" t="str">
        <f t="shared" ca="1" si="962"/>
        <v>1000 контактов</v>
      </c>
      <c r="BD165" s="229" t="str">
        <f t="shared" ca="1" si="963"/>
        <v>х1000</v>
      </c>
      <c r="BE165" s="283">
        <f t="shared" ca="1" si="834"/>
        <v>0</v>
      </c>
      <c r="BF165" s="347">
        <f t="array" aca="1" ref="BF165" ca="1">SUM($K165:$V165*$BK165:$BV165)*$AZ165</f>
        <v>0</v>
      </c>
      <c r="BG165" s="347">
        <f t="array" aca="1" ref="BG165" ca="1">SUM($K165:$V165*$BY165:$CJ165*$BK165:$BV165)*$AZ165*$BX165</f>
        <v>0</v>
      </c>
      <c r="BH165" s="347">
        <f t="array" aca="1" ref="BH165" ca="1">SUM($K165:$V165*$BY165:$CJ165*$BK165:$BV165)*(1-$BE165)*$AZ165*$BX165</f>
        <v>0</v>
      </c>
      <c r="BI165" s="350">
        <f t="shared" ca="1" si="964"/>
        <v>0</v>
      </c>
      <c r="BJ165" s="275" t="str">
        <f t="shared" ca="1" si="965"/>
        <v>Да</v>
      </c>
      <c r="BK165" s="116">
        <f t="shared" ca="1" si="966"/>
        <v>0.8</v>
      </c>
      <c r="BL165" s="117">
        <f t="shared" ca="1" si="966"/>
        <v>0.9</v>
      </c>
      <c r="BM165" s="117">
        <f t="shared" ca="1" si="966"/>
        <v>1</v>
      </c>
      <c r="BN165" s="117">
        <f t="shared" ca="1" si="966"/>
        <v>1</v>
      </c>
      <c r="BO165" s="117">
        <f t="shared" ca="1" si="966"/>
        <v>1</v>
      </c>
      <c r="BP165" s="117">
        <f t="shared" ca="1" si="966"/>
        <v>1</v>
      </c>
      <c r="BQ165" s="117">
        <f t="shared" ca="1" si="966"/>
        <v>0.9</v>
      </c>
      <c r="BR165" s="117">
        <f t="shared" ca="1" si="966"/>
        <v>0.9</v>
      </c>
      <c r="BS165" s="117">
        <f t="shared" ca="1" si="966"/>
        <v>1.3</v>
      </c>
      <c r="BT165" s="117">
        <f t="shared" ca="1" si="966"/>
        <v>1.3</v>
      </c>
      <c r="BU165" s="117">
        <f t="shared" ca="1" si="966"/>
        <v>1.3</v>
      </c>
      <c r="BV165" s="278">
        <f t="shared" ca="1" si="966"/>
        <v>1.3</v>
      </c>
      <c r="BW165" s="280">
        <f t="shared" si="835"/>
        <v>9</v>
      </c>
      <c r="BX165" s="118">
        <f>IF($AN165="Ya",100%,100%+extraDelayZ)</f>
        <v>1</v>
      </c>
      <c r="BY165" s="263">
        <f t="shared" si="967"/>
        <v>1</v>
      </c>
      <c r="BZ165" s="264">
        <f t="shared" si="968"/>
        <v>1</v>
      </c>
      <c r="CA165" s="264">
        <f t="shared" si="969"/>
        <v>1</v>
      </c>
      <c r="CB165" s="264">
        <f t="shared" si="970"/>
        <v>1</v>
      </c>
      <c r="CC165" s="264">
        <f t="shared" si="971"/>
        <v>1</v>
      </c>
      <c r="CD165" s="264">
        <f t="shared" si="972"/>
        <v>1</v>
      </c>
      <c r="CE165" s="264">
        <f t="shared" si="973"/>
        <v>1</v>
      </c>
      <c r="CF165" s="264">
        <f t="shared" si="974"/>
        <v>1</v>
      </c>
      <c r="CG165" s="264">
        <f t="shared" si="975"/>
        <v>1</v>
      </c>
      <c r="CH165" s="264">
        <f t="shared" si="976"/>
        <v>1</v>
      </c>
      <c r="CI165" s="264">
        <f t="shared" si="977"/>
        <v>1</v>
      </c>
      <c r="CJ165" s="265">
        <f t="shared" si="978"/>
        <v>1</v>
      </c>
      <c r="CK165" s="269">
        <f t="array" ref="CK165">IF(ISERROR(SUM($K165:$V165*$BY165:$CJ165)/SUM($K165:$V165)),1,SUM($K165:$V165*$BY165:$CJ165)/SUM($K165:$V165))-1</f>
        <v>0</v>
      </c>
      <c r="CL165" s="234"/>
    </row>
    <row r="166" spans="1:90" ht="15" collapsed="1" x14ac:dyDescent="0.2">
      <c r="A166" s="391"/>
      <c r="B166" s="392" t="str">
        <f>CONCATENATE($AO166,IF($AX166&gt;0,CONCATENATE("  (план ",TEXT(INDEX(indBudX,MATCH($AN166,indPrefixX,0)),"# ##0")," руб.)"),""))</f>
        <v>Vesti.ru</v>
      </c>
      <c r="C166" s="650" t="s">
        <v>363</v>
      </c>
      <c r="D166" s="393"/>
      <c r="E166" s="394"/>
      <c r="F166" s="394"/>
      <c r="G166" s="395"/>
      <c r="H166" s="395"/>
      <c r="I166" s="395">
        <f t="shared" ca="1" si="953"/>
        <v>0</v>
      </c>
      <c r="J166" s="396">
        <f ca="1">$BH166</f>
        <v>0</v>
      </c>
      <c r="K166" s="397"/>
      <c r="L166" s="398"/>
      <c r="M166" s="398"/>
      <c r="N166" s="398"/>
      <c r="O166" s="398"/>
      <c r="P166" s="398"/>
      <c r="Q166" s="398"/>
      <c r="R166" s="398"/>
      <c r="S166" s="398"/>
      <c r="T166" s="398"/>
      <c r="U166" s="398"/>
      <c r="V166" s="399"/>
      <c r="W166" s="395">
        <f t="shared" ca="1" si="832"/>
        <v>0</v>
      </c>
      <c r="X166" s="576"/>
      <c r="Y166" s="400">
        <f ca="1">$BE166</f>
        <v>0</v>
      </c>
      <c r="Z166" s="401"/>
      <c r="AA166" s="402"/>
      <c r="AB166" s="402"/>
      <c r="AC166" s="402"/>
      <c r="AD166" s="402"/>
      <c r="AE166" s="402"/>
      <c r="AF166" s="402"/>
      <c r="AG166" s="402"/>
      <c r="AH166" s="402"/>
      <c r="AI166" s="402"/>
      <c r="AJ166" s="402"/>
      <c r="AK166" s="402"/>
      <c r="AL166" s="402"/>
      <c r="AM166" s="403"/>
      <c r="AN166" s="130" t="s">
        <v>15</v>
      </c>
      <c r="AO166" s="130" t="str">
        <f t="shared" si="833"/>
        <v>Vesti.ru</v>
      </c>
      <c r="AP166" s="119">
        <f t="shared" si="883"/>
        <v>11</v>
      </c>
      <c r="AQ166" s="120"/>
      <c r="AR166" s="120"/>
      <c r="AS166" s="121"/>
      <c r="AT166" s="228"/>
      <c r="AU166" s="232"/>
      <c r="AV166" s="179"/>
      <c r="AW166" s="233"/>
      <c r="AX166" s="279">
        <f>IF(ISERROR(INDEX(indBudX,MATCH($AN166,indPrefixX,0))),0,INDEX(indBudX,MATCH($AN166,indPrefixX,0)))</f>
        <v>0</v>
      </c>
      <c r="AY166" s="279">
        <f>IF(ISNUMBER($X166),$X166,0)</f>
        <v>0</v>
      </c>
      <c r="AZ166" s="123"/>
      <c r="BA166" s="125"/>
      <c r="BB166" s="123"/>
      <c r="BC166" s="124"/>
      <c r="BD166" s="464"/>
      <c r="BE166" s="282">
        <f t="shared" ca="1" si="834"/>
        <v>0</v>
      </c>
      <c r="BF166" s="123">
        <f t="shared" ref="BF166:BI166" ca="1" si="979">SUM(OFFSET(BF166,1,0,$AP166-1,1))</f>
        <v>0</v>
      </c>
      <c r="BG166" s="123">
        <f t="shared" ca="1" si="979"/>
        <v>0</v>
      </c>
      <c r="BH166" s="123">
        <f t="shared" ca="1" si="979"/>
        <v>0</v>
      </c>
      <c r="BI166" s="273">
        <f t="shared" ca="1" si="979"/>
        <v>0</v>
      </c>
      <c r="BJ166" s="274"/>
      <c r="BK166" s="126"/>
      <c r="BL166" s="127"/>
      <c r="BM166" s="127"/>
      <c r="BN166" s="127"/>
      <c r="BO166" s="127"/>
      <c r="BP166" s="127"/>
      <c r="BQ166" s="127"/>
      <c r="BR166" s="127"/>
      <c r="BS166" s="127"/>
      <c r="BT166" s="127"/>
      <c r="BU166" s="127"/>
      <c r="BV166" s="277"/>
      <c r="BW166" s="279">
        <f t="shared" si="835"/>
        <v>1</v>
      </c>
      <c r="BX166" s="128"/>
      <c r="BY166" s="260"/>
      <c r="BZ166" s="261"/>
      <c r="CA166" s="261"/>
      <c r="CB166" s="261"/>
      <c r="CC166" s="261"/>
      <c r="CD166" s="261"/>
      <c r="CE166" s="261"/>
      <c r="CF166" s="261"/>
      <c r="CG166" s="261"/>
      <c r="CH166" s="261"/>
      <c r="CI166" s="261"/>
      <c r="CJ166" s="262"/>
      <c r="CK166" s="270"/>
      <c r="CL166" s="234"/>
    </row>
    <row r="167" spans="1:90" ht="12.75" hidden="1" outlineLevel="1" x14ac:dyDescent="0.2">
      <c r="B167" s="404" t="str">
        <f t="shared" ref="B167:B176" ca="1" si="980">INDEX(INDIRECT(LOWER($AN167)&amp;"Price"),$BW167,2)</f>
        <v>Пакет "Охват 800К", 100%х90, F ~ 3-5</v>
      </c>
      <c r="C167" s="676" t="str">
        <f t="shared" ref="C167:C176" ca="1" si="981">$BD167</f>
        <v>Пакет</v>
      </c>
      <c r="D167" s="405">
        <f t="shared" ref="D167:D176" ca="1" si="982">$AU167</f>
        <v>280</v>
      </c>
      <c r="E167" s="405">
        <f t="shared" ref="E167:E176" ca="1" si="983">$AV167</f>
        <v>280</v>
      </c>
      <c r="F167" s="405">
        <f t="shared" ref="F167:F176" ca="1" si="984">$AW167</f>
        <v>280</v>
      </c>
      <c r="G167" s="406">
        <f t="shared" ref="G167:G176" ca="1" si="985">$AZ167</f>
        <v>224000</v>
      </c>
      <c r="H167" s="406">
        <f t="shared" ref="H167:H176" ca="1" si="986">$BA167</f>
        <v>224000</v>
      </c>
      <c r="I167" s="406">
        <f t="shared" ref="I167:I177" ca="1" si="987">$BG167</f>
        <v>0</v>
      </c>
      <c r="J167" s="407">
        <f t="shared" ref="J167:J176" ca="1" si="988">$BH167</f>
        <v>0</v>
      </c>
      <c r="K167" s="408"/>
      <c r="L167" s="409"/>
      <c r="M167" s="409"/>
      <c r="N167" s="409"/>
      <c r="O167" s="409"/>
      <c r="P167" s="409"/>
      <c r="Q167" s="409"/>
      <c r="R167" s="409"/>
      <c r="S167" s="409"/>
      <c r="T167" s="409"/>
      <c r="U167" s="409"/>
      <c r="V167" s="410"/>
      <c r="W167" s="406">
        <f t="shared" ca="1" si="832"/>
        <v>0</v>
      </c>
      <c r="X167" s="406"/>
      <c r="Y167" s="411"/>
      <c r="Z167" s="412">
        <f t="shared" ref="Z167:Z176" si="989">CK167</f>
        <v>0</v>
      </c>
      <c r="AA167" s="413"/>
      <c r="AB167" s="413"/>
      <c r="AC167" s="413"/>
      <c r="AD167" s="413"/>
      <c r="AE167" s="413"/>
      <c r="AF167" s="413"/>
      <c r="AG167" s="413"/>
      <c r="AH167" s="413"/>
      <c r="AI167" s="413"/>
      <c r="AJ167" s="413"/>
      <c r="AK167" s="413"/>
      <c r="AL167" s="413"/>
      <c r="AM167" s="572"/>
      <c r="AN167" s="351" t="s">
        <v>15</v>
      </c>
      <c r="AO167" s="351" t="str">
        <f t="shared" si="833"/>
        <v>Vesti.ru</v>
      </c>
      <c r="AP167" s="115">
        <f t="shared" si="883"/>
        <v>11</v>
      </c>
      <c r="AQ167" s="31">
        <f t="shared" ref="AQ167:AR176" ca="1" si="990">HLOOKUP(AQ$10,INDIRECT(LOWER($AN167)&amp;"Price"),$BW167,FALSE)</f>
        <v>0.25</v>
      </c>
      <c r="AR167" s="31">
        <f t="shared" ca="1" si="990"/>
        <v>0.15</v>
      </c>
      <c r="AS167" s="35">
        <v>0</v>
      </c>
      <c r="AT167" s="229">
        <v>0</v>
      </c>
      <c r="AU167" s="344">
        <f t="shared" ref="AU167:AU176" ca="1" si="991">HLOOKUP(AU$10,INDIRECT(LOWER($AN167)&amp;"Price"),$BW167,FALSE)</f>
        <v>280</v>
      </c>
      <c r="AV167" s="345">
        <f t="shared" ref="AV167:AV176" ca="1" si="992">IF(ISERROR($BG167/$BI167),$AU167,$BG167/$BI167)</f>
        <v>280</v>
      </c>
      <c r="AW167" s="346">
        <f t="shared" ref="AW167:AW176" ca="1" si="993">$AV167*(1-$BE167)</f>
        <v>280</v>
      </c>
      <c r="AX167" s="280"/>
      <c r="AY167" s="280"/>
      <c r="AZ167" s="347">
        <f t="shared" ref="AZ167:AZ176" ca="1" si="994">HLOOKUP(AZ$10,INDIRECT(LOWER($AN167)&amp;"Price"),$BW167,FALSE)</f>
        <v>224000</v>
      </c>
      <c r="BA167" s="348">
        <f t="shared" ref="BA167:BA176" ca="1" si="995">$AZ167*(1-$BE167)</f>
        <v>224000</v>
      </c>
      <c r="BB167" s="347">
        <f t="shared" ref="BB167:BC176" ca="1" si="996">HLOOKUP(BB$10,INDIRECT(LOWER($AN167)&amp;"Price"),$BW167,FALSE)</f>
        <v>800</v>
      </c>
      <c r="BC167" s="37" t="str">
        <f t="shared" ca="1" si="996"/>
        <v>Пакет</v>
      </c>
      <c r="BD167" s="229" t="str">
        <f t="shared" ref="BD167:BD176" ca="1" si="997">IF(ISERROR(VLOOKUP($BC167,typeIndexPair,2,FALSE)),"",VLOOKUP($BC167,typeIndexPair,2,FALSE))</f>
        <v>Пакет</v>
      </c>
      <c r="BE167" s="283">
        <f t="shared" ca="1" si="834"/>
        <v>0</v>
      </c>
      <c r="BF167" s="347">
        <f t="array" aca="1" ref="BF167" ca="1">SUM($K167:$V167*$BK167:$BV167)*$AZ167</f>
        <v>0</v>
      </c>
      <c r="BG167" s="347">
        <f t="array" aca="1" ref="BG167" ca="1">SUM($K167:$V167*$BY167:$CJ167*$BK167:$BV167)*$AZ167*$BX167</f>
        <v>0</v>
      </c>
      <c r="BH167" s="347">
        <f t="array" aca="1" ref="BH167" ca="1">SUM($K167:$V167*$BY167:$CJ167*$BK167:$BV167)*(1-$BE167)*$AZ167*$BX167</f>
        <v>0</v>
      </c>
      <c r="BI167" s="350">
        <f t="shared" ref="BI167:BI176" ca="1" si="998">SUM($K167:$V167)*$BB167</f>
        <v>0</v>
      </c>
      <c r="BJ167" s="275" t="str">
        <f t="shared" ref="BJ167:BJ176" ca="1" si="999">IF(ISERROR(HLOOKUP(BJ$10,INDIRECT(LOWER($AN167)&amp;"Price"),$BW167,FALSE)),"Да",HLOOKUP(BJ$10,INDIRECT(LOWER($AN167)&amp;"Price"),$BW167,FALSE))</f>
        <v>Да</v>
      </c>
      <c r="BK167" s="116">
        <f t="shared" ref="BK167:BV176" ca="1" si="1000">IF($BJ167="Особ.",INDEX(INDIRECT(LOWER($AN167)&amp;"Season2"),BK$9),IF($BJ167="Да",INDEX(INDIRECT(LOWER($AN167)&amp;"Season"),BK$9),100%))</f>
        <v>0.8</v>
      </c>
      <c r="BL167" s="117">
        <f t="shared" ca="1" si="1000"/>
        <v>0.9</v>
      </c>
      <c r="BM167" s="117">
        <f t="shared" ca="1" si="1000"/>
        <v>1</v>
      </c>
      <c r="BN167" s="117">
        <f t="shared" ca="1" si="1000"/>
        <v>1</v>
      </c>
      <c r="BO167" s="117">
        <f t="shared" ca="1" si="1000"/>
        <v>1</v>
      </c>
      <c r="BP167" s="117">
        <f t="shared" ca="1" si="1000"/>
        <v>1</v>
      </c>
      <c r="BQ167" s="117">
        <f t="shared" ca="1" si="1000"/>
        <v>0.9</v>
      </c>
      <c r="BR167" s="117">
        <f t="shared" ca="1" si="1000"/>
        <v>0.9</v>
      </c>
      <c r="BS167" s="117">
        <f t="shared" ca="1" si="1000"/>
        <v>1.3</v>
      </c>
      <c r="BT167" s="117">
        <f t="shared" ca="1" si="1000"/>
        <v>1.3</v>
      </c>
      <c r="BU167" s="117">
        <f t="shared" ca="1" si="1000"/>
        <v>1.3</v>
      </c>
      <c r="BV167" s="278">
        <f t="shared" ca="1" si="1000"/>
        <v>1.3</v>
      </c>
      <c r="BW167" s="280">
        <f t="shared" si="835"/>
        <v>2</v>
      </c>
      <c r="BX167" s="118">
        <f>IF($AN167="Ya",100%,100%+extraDelayZ)</f>
        <v>1</v>
      </c>
      <c r="BY167" s="263">
        <f t="shared" ref="BY167:BY176" si="1001">(1+AA167)</f>
        <v>1</v>
      </c>
      <c r="BZ167" s="264">
        <f t="shared" ref="BZ167:BZ176" si="1002">(1+AB167)</f>
        <v>1</v>
      </c>
      <c r="CA167" s="264">
        <f t="shared" ref="CA167:CA176" si="1003">(1+AC167)</f>
        <v>1</v>
      </c>
      <c r="CB167" s="264">
        <f t="shared" ref="CB167:CB176" si="1004">(1+AD167)</f>
        <v>1</v>
      </c>
      <c r="CC167" s="264">
        <f t="shared" ref="CC167:CC176" si="1005">(1+AE167)</f>
        <v>1</v>
      </c>
      <c r="CD167" s="264">
        <f t="shared" ref="CD167:CD176" si="1006">(1+AF167)</f>
        <v>1</v>
      </c>
      <c r="CE167" s="264">
        <f t="shared" ref="CE167:CE176" si="1007">(1+AG167)</f>
        <v>1</v>
      </c>
      <c r="CF167" s="264">
        <f t="shared" ref="CF167:CF176" si="1008">(1+AH167)</f>
        <v>1</v>
      </c>
      <c r="CG167" s="264">
        <f t="shared" ref="CG167:CG176" si="1009">(1+AI167)</f>
        <v>1</v>
      </c>
      <c r="CH167" s="264">
        <f t="shared" ref="CH167:CH176" si="1010">(1+AJ167)</f>
        <v>1</v>
      </c>
      <c r="CI167" s="264">
        <f t="shared" ref="CI167:CI176" si="1011">(1+AK167)</f>
        <v>1</v>
      </c>
      <c r="CJ167" s="265">
        <f t="shared" ref="CJ167:CJ176" si="1012">(1+AL167)</f>
        <v>1</v>
      </c>
      <c r="CK167" s="269">
        <f t="array" ref="CK167">IF(ISERROR(SUM($K167:$V167*$BY167:$CJ167)/SUM($K167:$V167)),1,SUM($K167:$V167*$BY167:$CJ167)/SUM($K167:$V167))-1</f>
        <v>0</v>
      </c>
      <c r="CL167" s="234"/>
    </row>
    <row r="168" spans="1:90" ht="12.75" hidden="1" outlineLevel="1" x14ac:dyDescent="0.2">
      <c r="B168" s="404" t="str">
        <f t="shared" ca="1" si="980"/>
        <v>Пакет "Охват 1800К", 100%x90, F ~ 3-5</v>
      </c>
      <c r="C168" s="676" t="str">
        <f t="shared" ca="1" si="981"/>
        <v>Пакет</v>
      </c>
      <c r="D168" s="405">
        <f t="shared" ca="1" si="982"/>
        <v>260</v>
      </c>
      <c r="E168" s="405">
        <f t="shared" ca="1" si="983"/>
        <v>260</v>
      </c>
      <c r="F168" s="405">
        <f t="shared" ca="1" si="984"/>
        <v>260</v>
      </c>
      <c r="G168" s="406">
        <f t="shared" ca="1" si="985"/>
        <v>468000</v>
      </c>
      <c r="H168" s="406">
        <f t="shared" ca="1" si="986"/>
        <v>468000</v>
      </c>
      <c r="I168" s="406">
        <f t="shared" ca="1" si="987"/>
        <v>0</v>
      </c>
      <c r="J168" s="407">
        <f t="shared" ca="1" si="988"/>
        <v>0</v>
      </c>
      <c r="K168" s="408"/>
      <c r="L168" s="409"/>
      <c r="M168" s="409"/>
      <c r="N168" s="409"/>
      <c r="O168" s="409"/>
      <c r="P168" s="409"/>
      <c r="Q168" s="409"/>
      <c r="R168" s="409"/>
      <c r="S168" s="409"/>
      <c r="T168" s="409"/>
      <c r="U168" s="409"/>
      <c r="V168" s="410"/>
      <c r="W168" s="406">
        <f t="shared" ca="1" si="832"/>
        <v>0</v>
      </c>
      <c r="X168" s="406"/>
      <c r="Y168" s="411"/>
      <c r="Z168" s="412">
        <f t="shared" si="989"/>
        <v>0</v>
      </c>
      <c r="AA168" s="413"/>
      <c r="AB168" s="413"/>
      <c r="AC168" s="413"/>
      <c r="AD168" s="413"/>
      <c r="AE168" s="413"/>
      <c r="AF168" s="413"/>
      <c r="AG168" s="413"/>
      <c r="AH168" s="413"/>
      <c r="AI168" s="413"/>
      <c r="AJ168" s="413"/>
      <c r="AK168" s="413"/>
      <c r="AL168" s="413"/>
      <c r="AM168" s="572"/>
      <c r="AN168" s="351" t="s">
        <v>15</v>
      </c>
      <c r="AO168" s="351" t="str">
        <f t="shared" si="833"/>
        <v>Vesti.ru</v>
      </c>
      <c r="AP168" s="115">
        <f t="shared" si="883"/>
        <v>11</v>
      </c>
      <c r="AQ168" s="31">
        <f t="shared" ca="1" si="990"/>
        <v>0.25</v>
      </c>
      <c r="AR168" s="31">
        <f t="shared" ca="1" si="990"/>
        <v>0.15</v>
      </c>
      <c r="AS168" s="35">
        <v>0</v>
      </c>
      <c r="AT168" s="229">
        <v>0</v>
      </c>
      <c r="AU168" s="344">
        <f t="shared" ca="1" si="991"/>
        <v>260</v>
      </c>
      <c r="AV168" s="345">
        <f t="shared" ca="1" si="992"/>
        <v>260</v>
      </c>
      <c r="AW168" s="346">
        <f t="shared" ca="1" si="993"/>
        <v>260</v>
      </c>
      <c r="AX168" s="280"/>
      <c r="AY168" s="280"/>
      <c r="AZ168" s="347">
        <f t="shared" ca="1" si="994"/>
        <v>468000</v>
      </c>
      <c r="BA168" s="348">
        <f t="shared" ca="1" si="995"/>
        <v>468000</v>
      </c>
      <c r="BB168" s="347">
        <f t="shared" ca="1" si="996"/>
        <v>1800</v>
      </c>
      <c r="BC168" s="37" t="str">
        <f t="shared" ca="1" si="996"/>
        <v>Пакет</v>
      </c>
      <c r="BD168" s="229" t="str">
        <f t="shared" ca="1" si="997"/>
        <v>Пакет</v>
      </c>
      <c r="BE168" s="283">
        <f t="shared" ca="1" si="834"/>
        <v>0</v>
      </c>
      <c r="BF168" s="347">
        <f t="array" aca="1" ref="BF168" ca="1">SUM($K168:$V168*$BK168:$BV168)*$AZ168</f>
        <v>0</v>
      </c>
      <c r="BG168" s="347">
        <f t="array" aca="1" ref="BG168" ca="1">SUM($K168:$V168*$BY168:$CJ168*$BK168:$BV168)*$AZ168*$BX168</f>
        <v>0</v>
      </c>
      <c r="BH168" s="347">
        <f t="array" aca="1" ref="BH168" ca="1">SUM($K168:$V168*$BY168:$CJ168*$BK168:$BV168)*(1-$BE168)*$AZ168*$BX168</f>
        <v>0</v>
      </c>
      <c r="BI168" s="350">
        <f t="shared" ca="1" si="998"/>
        <v>0</v>
      </c>
      <c r="BJ168" s="275" t="str">
        <f t="shared" ca="1" si="999"/>
        <v>Да</v>
      </c>
      <c r="BK168" s="116">
        <f t="shared" ca="1" si="1000"/>
        <v>0.8</v>
      </c>
      <c r="BL168" s="117">
        <f t="shared" ca="1" si="1000"/>
        <v>0.9</v>
      </c>
      <c r="BM168" s="117">
        <f t="shared" ca="1" si="1000"/>
        <v>1</v>
      </c>
      <c r="BN168" s="117">
        <f t="shared" ca="1" si="1000"/>
        <v>1</v>
      </c>
      <c r="BO168" s="117">
        <f t="shared" ca="1" si="1000"/>
        <v>1</v>
      </c>
      <c r="BP168" s="117">
        <f t="shared" ca="1" si="1000"/>
        <v>1</v>
      </c>
      <c r="BQ168" s="117">
        <f t="shared" ca="1" si="1000"/>
        <v>0.9</v>
      </c>
      <c r="BR168" s="117">
        <f t="shared" ca="1" si="1000"/>
        <v>0.9</v>
      </c>
      <c r="BS168" s="117">
        <f t="shared" ca="1" si="1000"/>
        <v>1.3</v>
      </c>
      <c r="BT168" s="117">
        <f t="shared" ca="1" si="1000"/>
        <v>1.3</v>
      </c>
      <c r="BU168" s="117">
        <f t="shared" ca="1" si="1000"/>
        <v>1.3</v>
      </c>
      <c r="BV168" s="278">
        <f t="shared" ca="1" si="1000"/>
        <v>1.3</v>
      </c>
      <c r="BW168" s="280">
        <f t="shared" si="835"/>
        <v>3</v>
      </c>
      <c r="BX168" s="118">
        <f>IF($AN168="Ya",100%,100%+extraDelayZ)</f>
        <v>1</v>
      </c>
      <c r="BY168" s="263">
        <f t="shared" si="1001"/>
        <v>1</v>
      </c>
      <c r="BZ168" s="264">
        <f t="shared" si="1002"/>
        <v>1</v>
      </c>
      <c r="CA168" s="264">
        <f t="shared" si="1003"/>
        <v>1</v>
      </c>
      <c r="CB168" s="264">
        <f t="shared" si="1004"/>
        <v>1</v>
      </c>
      <c r="CC168" s="264">
        <f t="shared" si="1005"/>
        <v>1</v>
      </c>
      <c r="CD168" s="264">
        <f t="shared" si="1006"/>
        <v>1</v>
      </c>
      <c r="CE168" s="264">
        <f t="shared" si="1007"/>
        <v>1</v>
      </c>
      <c r="CF168" s="264">
        <f t="shared" si="1008"/>
        <v>1</v>
      </c>
      <c r="CG168" s="264">
        <f t="shared" si="1009"/>
        <v>1</v>
      </c>
      <c r="CH168" s="264">
        <f t="shared" si="1010"/>
        <v>1</v>
      </c>
      <c r="CI168" s="264">
        <f t="shared" si="1011"/>
        <v>1</v>
      </c>
      <c r="CJ168" s="265">
        <f t="shared" si="1012"/>
        <v>1</v>
      </c>
      <c r="CK168" s="269">
        <f t="array" ref="CK168">IF(ISERROR(SUM($K168:$V168*$BY168:$CJ168)/SUM($K168:$V168)),1,SUM($K168:$V168*$BY168:$CJ168)/SUM($K168:$V168))-1</f>
        <v>0</v>
      </c>
      <c r="CL168" s="234"/>
    </row>
    <row r="169" spans="1:90" ht="12.75" hidden="1" outlineLevel="1" x14ac:dyDescent="0.2">
      <c r="B169" s="404" t="str">
        <f t="shared" ca="1" si="980"/>
        <v>Пакет "Охват 800К", 240x400, F ~ 3-5</v>
      </c>
      <c r="C169" s="676" t="str">
        <f t="shared" ca="1" si="981"/>
        <v>Пакет</v>
      </c>
      <c r="D169" s="405">
        <f t="shared" ca="1" si="982"/>
        <v>450</v>
      </c>
      <c r="E169" s="405">
        <f t="shared" ca="1" si="983"/>
        <v>450</v>
      </c>
      <c r="F169" s="405">
        <f t="shared" ca="1" si="984"/>
        <v>450</v>
      </c>
      <c r="G169" s="406">
        <f t="shared" ca="1" si="985"/>
        <v>360000</v>
      </c>
      <c r="H169" s="406">
        <f t="shared" ca="1" si="986"/>
        <v>360000</v>
      </c>
      <c r="I169" s="406">
        <f t="shared" ca="1" si="987"/>
        <v>0</v>
      </c>
      <c r="J169" s="407">
        <f t="shared" ca="1" si="988"/>
        <v>0</v>
      </c>
      <c r="K169" s="408"/>
      <c r="L169" s="409"/>
      <c r="M169" s="409"/>
      <c r="N169" s="409"/>
      <c r="O169" s="409"/>
      <c r="P169" s="409"/>
      <c r="Q169" s="409"/>
      <c r="R169" s="409"/>
      <c r="S169" s="409"/>
      <c r="T169" s="409"/>
      <c r="U169" s="409"/>
      <c r="V169" s="410"/>
      <c r="W169" s="406">
        <f t="shared" ca="1" si="832"/>
        <v>0</v>
      </c>
      <c r="X169" s="406"/>
      <c r="Y169" s="411"/>
      <c r="Z169" s="412">
        <f t="shared" si="989"/>
        <v>0</v>
      </c>
      <c r="AA169" s="413"/>
      <c r="AB169" s="413"/>
      <c r="AC169" s="413"/>
      <c r="AD169" s="413"/>
      <c r="AE169" s="413"/>
      <c r="AF169" s="413"/>
      <c r="AG169" s="413"/>
      <c r="AH169" s="413"/>
      <c r="AI169" s="413"/>
      <c r="AJ169" s="413"/>
      <c r="AK169" s="413"/>
      <c r="AL169" s="413"/>
      <c r="AM169" s="572"/>
      <c r="AN169" s="351" t="s">
        <v>15</v>
      </c>
      <c r="AO169" s="351" t="str">
        <f t="shared" si="833"/>
        <v>Vesti.ru</v>
      </c>
      <c r="AP169" s="115">
        <f t="shared" si="883"/>
        <v>11</v>
      </c>
      <c r="AQ169" s="31">
        <f t="shared" ca="1" si="990"/>
        <v>0.25</v>
      </c>
      <c r="AR169" s="31">
        <f t="shared" ca="1" si="990"/>
        <v>0.15</v>
      </c>
      <c r="AS169" s="35">
        <v>0</v>
      </c>
      <c r="AT169" s="229">
        <v>0</v>
      </c>
      <c r="AU169" s="344">
        <f t="shared" ca="1" si="991"/>
        <v>450</v>
      </c>
      <c r="AV169" s="345">
        <f t="shared" ca="1" si="992"/>
        <v>450</v>
      </c>
      <c r="AW169" s="346">
        <f t="shared" ca="1" si="993"/>
        <v>450</v>
      </c>
      <c r="AX169" s="280"/>
      <c r="AY169" s="280"/>
      <c r="AZ169" s="347">
        <f t="shared" ca="1" si="994"/>
        <v>360000</v>
      </c>
      <c r="BA169" s="348">
        <f t="shared" ca="1" si="995"/>
        <v>360000</v>
      </c>
      <c r="BB169" s="347">
        <f t="shared" ca="1" si="996"/>
        <v>800</v>
      </c>
      <c r="BC169" s="37" t="str">
        <f t="shared" ca="1" si="996"/>
        <v>Пакет</v>
      </c>
      <c r="BD169" s="229" t="str">
        <f t="shared" ca="1" si="997"/>
        <v>Пакет</v>
      </c>
      <c r="BE169" s="283">
        <f t="shared" ca="1" si="834"/>
        <v>0</v>
      </c>
      <c r="BF169" s="347">
        <f t="array" aca="1" ref="BF169" ca="1">SUM($K169:$V169*$BK169:$BV169)*$AZ169</f>
        <v>0</v>
      </c>
      <c r="BG169" s="347">
        <f t="array" aca="1" ref="BG169" ca="1">SUM($K169:$V169*$BY169:$CJ169*$BK169:$BV169)*$AZ169*$BX169</f>
        <v>0</v>
      </c>
      <c r="BH169" s="347">
        <f t="array" aca="1" ref="BH169" ca="1">SUM($K169:$V169*$BY169:$CJ169*$BK169:$BV169)*(1-$BE169)*$AZ169*$BX169</f>
        <v>0</v>
      </c>
      <c r="BI169" s="350">
        <f t="shared" ca="1" si="998"/>
        <v>0</v>
      </c>
      <c r="BJ169" s="275" t="str">
        <f t="shared" ca="1" si="999"/>
        <v>Да</v>
      </c>
      <c r="BK169" s="116">
        <f t="shared" ca="1" si="1000"/>
        <v>0.8</v>
      </c>
      <c r="BL169" s="117">
        <f t="shared" ca="1" si="1000"/>
        <v>0.9</v>
      </c>
      <c r="BM169" s="117">
        <f t="shared" ca="1" si="1000"/>
        <v>1</v>
      </c>
      <c r="BN169" s="117">
        <f t="shared" ca="1" si="1000"/>
        <v>1</v>
      </c>
      <c r="BO169" s="117">
        <f t="shared" ca="1" si="1000"/>
        <v>1</v>
      </c>
      <c r="BP169" s="117">
        <f t="shared" ca="1" si="1000"/>
        <v>1</v>
      </c>
      <c r="BQ169" s="117">
        <f t="shared" ca="1" si="1000"/>
        <v>0.9</v>
      </c>
      <c r="BR169" s="117">
        <f t="shared" ca="1" si="1000"/>
        <v>0.9</v>
      </c>
      <c r="BS169" s="117">
        <f t="shared" ca="1" si="1000"/>
        <v>1.3</v>
      </c>
      <c r="BT169" s="117">
        <f t="shared" ca="1" si="1000"/>
        <v>1.3</v>
      </c>
      <c r="BU169" s="117">
        <f t="shared" ca="1" si="1000"/>
        <v>1.3</v>
      </c>
      <c r="BV169" s="278">
        <f t="shared" ca="1" si="1000"/>
        <v>1.3</v>
      </c>
      <c r="BW169" s="280">
        <f t="shared" si="835"/>
        <v>4</v>
      </c>
      <c r="BX169" s="118">
        <f>IF($AN169="Ya",100%,100%+extraDelayZ)</f>
        <v>1</v>
      </c>
      <c r="BY169" s="263">
        <f t="shared" si="1001"/>
        <v>1</v>
      </c>
      <c r="BZ169" s="264">
        <f t="shared" si="1002"/>
        <v>1</v>
      </c>
      <c r="CA169" s="264">
        <f t="shared" si="1003"/>
        <v>1</v>
      </c>
      <c r="CB169" s="264">
        <f t="shared" si="1004"/>
        <v>1</v>
      </c>
      <c r="CC169" s="264">
        <f t="shared" si="1005"/>
        <v>1</v>
      </c>
      <c r="CD169" s="264">
        <f t="shared" si="1006"/>
        <v>1</v>
      </c>
      <c r="CE169" s="264">
        <f t="shared" si="1007"/>
        <v>1</v>
      </c>
      <c r="CF169" s="264">
        <f t="shared" si="1008"/>
        <v>1</v>
      </c>
      <c r="CG169" s="264">
        <f t="shared" si="1009"/>
        <v>1</v>
      </c>
      <c r="CH169" s="264">
        <f t="shared" si="1010"/>
        <v>1</v>
      </c>
      <c r="CI169" s="264">
        <f t="shared" si="1011"/>
        <v>1</v>
      </c>
      <c r="CJ169" s="265">
        <f t="shared" si="1012"/>
        <v>1</v>
      </c>
      <c r="CK169" s="269">
        <f t="array" ref="CK169">IF(ISERROR(SUM($K169:$V169*$BY169:$CJ169)/SUM($K169:$V169)),1,SUM($K169:$V169*$BY169:$CJ169)/SUM($K169:$V169))-1</f>
        <v>0</v>
      </c>
      <c r="CL169" s="234"/>
    </row>
    <row r="170" spans="1:90" ht="12.75" hidden="1" outlineLevel="1" x14ac:dyDescent="0.2">
      <c r="B170" s="404" t="str">
        <f t="shared" ca="1" si="980"/>
        <v>Пакет "Охват 1200К", 240х400, F ~ 3-5</v>
      </c>
      <c r="C170" s="676" t="str">
        <f t="shared" ca="1" si="981"/>
        <v>Пакет</v>
      </c>
      <c r="D170" s="405">
        <f t="shared" ca="1" si="982"/>
        <v>400</v>
      </c>
      <c r="E170" s="405">
        <f t="shared" ca="1" si="983"/>
        <v>400</v>
      </c>
      <c r="F170" s="405">
        <f t="shared" ca="1" si="984"/>
        <v>400</v>
      </c>
      <c r="G170" s="406">
        <f t="shared" ca="1" si="985"/>
        <v>480000</v>
      </c>
      <c r="H170" s="406">
        <f t="shared" ca="1" si="986"/>
        <v>480000</v>
      </c>
      <c r="I170" s="406">
        <f t="shared" ca="1" si="987"/>
        <v>0</v>
      </c>
      <c r="J170" s="407">
        <f t="shared" ca="1" si="988"/>
        <v>0</v>
      </c>
      <c r="K170" s="408"/>
      <c r="L170" s="409"/>
      <c r="M170" s="409"/>
      <c r="N170" s="409"/>
      <c r="O170" s="409"/>
      <c r="P170" s="409"/>
      <c r="Q170" s="409"/>
      <c r="R170" s="409"/>
      <c r="S170" s="409"/>
      <c r="T170" s="409"/>
      <c r="U170" s="409"/>
      <c r="V170" s="410"/>
      <c r="W170" s="406">
        <f t="shared" ca="1" si="832"/>
        <v>0</v>
      </c>
      <c r="X170" s="406"/>
      <c r="Y170" s="411"/>
      <c r="Z170" s="412">
        <f t="shared" si="989"/>
        <v>0</v>
      </c>
      <c r="AA170" s="413"/>
      <c r="AB170" s="413"/>
      <c r="AC170" s="413"/>
      <c r="AD170" s="413"/>
      <c r="AE170" s="413"/>
      <c r="AF170" s="413"/>
      <c r="AG170" s="413"/>
      <c r="AH170" s="413"/>
      <c r="AI170" s="413"/>
      <c r="AJ170" s="413"/>
      <c r="AK170" s="413"/>
      <c r="AL170" s="413"/>
      <c r="AM170" s="572"/>
      <c r="AN170" s="351" t="s">
        <v>15</v>
      </c>
      <c r="AO170" s="351" t="str">
        <f t="shared" si="833"/>
        <v>Vesti.ru</v>
      </c>
      <c r="AP170" s="115">
        <f t="shared" si="883"/>
        <v>11</v>
      </c>
      <c r="AQ170" s="31">
        <f t="shared" ca="1" si="990"/>
        <v>0.25</v>
      </c>
      <c r="AR170" s="31">
        <f t="shared" ca="1" si="990"/>
        <v>0.15</v>
      </c>
      <c r="AS170" s="35">
        <v>0</v>
      </c>
      <c r="AT170" s="229">
        <v>0</v>
      </c>
      <c r="AU170" s="344">
        <f t="shared" ca="1" si="991"/>
        <v>400</v>
      </c>
      <c r="AV170" s="345">
        <f t="shared" ca="1" si="992"/>
        <v>400</v>
      </c>
      <c r="AW170" s="346">
        <f t="shared" ca="1" si="993"/>
        <v>400</v>
      </c>
      <c r="AX170" s="280"/>
      <c r="AY170" s="280"/>
      <c r="AZ170" s="347">
        <f t="shared" ca="1" si="994"/>
        <v>480000</v>
      </c>
      <c r="BA170" s="348">
        <f t="shared" ca="1" si="995"/>
        <v>480000</v>
      </c>
      <c r="BB170" s="347">
        <f t="shared" ca="1" si="996"/>
        <v>1200</v>
      </c>
      <c r="BC170" s="37" t="str">
        <f t="shared" ca="1" si="996"/>
        <v>Пакет</v>
      </c>
      <c r="BD170" s="229" t="str">
        <f t="shared" ca="1" si="997"/>
        <v>Пакет</v>
      </c>
      <c r="BE170" s="283">
        <f t="shared" ca="1" si="834"/>
        <v>0</v>
      </c>
      <c r="BF170" s="347">
        <f t="array" aca="1" ref="BF170" ca="1">SUM($K170:$V170*$BK170:$BV170)*$AZ170</f>
        <v>0</v>
      </c>
      <c r="BG170" s="347">
        <f t="array" aca="1" ref="BG170" ca="1">SUM($K170:$V170*$BY170:$CJ170*$BK170:$BV170)*$AZ170*$BX170</f>
        <v>0</v>
      </c>
      <c r="BH170" s="347">
        <f t="array" aca="1" ref="BH170" ca="1">SUM($K170:$V170*$BY170:$CJ170*$BK170:$BV170)*(1-$BE170)*$AZ170*$BX170</f>
        <v>0</v>
      </c>
      <c r="BI170" s="350">
        <f t="shared" ca="1" si="998"/>
        <v>0</v>
      </c>
      <c r="BJ170" s="275" t="str">
        <f t="shared" ca="1" si="999"/>
        <v>Да</v>
      </c>
      <c r="BK170" s="116">
        <f t="shared" ca="1" si="1000"/>
        <v>0.8</v>
      </c>
      <c r="BL170" s="117">
        <f t="shared" ca="1" si="1000"/>
        <v>0.9</v>
      </c>
      <c r="BM170" s="117">
        <f t="shared" ca="1" si="1000"/>
        <v>1</v>
      </c>
      <c r="BN170" s="117">
        <f t="shared" ca="1" si="1000"/>
        <v>1</v>
      </c>
      <c r="BO170" s="117">
        <f t="shared" ca="1" si="1000"/>
        <v>1</v>
      </c>
      <c r="BP170" s="117">
        <f t="shared" ca="1" si="1000"/>
        <v>1</v>
      </c>
      <c r="BQ170" s="117">
        <f t="shared" ca="1" si="1000"/>
        <v>0.9</v>
      </c>
      <c r="BR170" s="117">
        <f t="shared" ca="1" si="1000"/>
        <v>0.9</v>
      </c>
      <c r="BS170" s="117">
        <f t="shared" ca="1" si="1000"/>
        <v>1.3</v>
      </c>
      <c r="BT170" s="117">
        <f t="shared" ca="1" si="1000"/>
        <v>1.3</v>
      </c>
      <c r="BU170" s="117">
        <f t="shared" ca="1" si="1000"/>
        <v>1.3</v>
      </c>
      <c r="BV170" s="278">
        <f t="shared" ca="1" si="1000"/>
        <v>1.3</v>
      </c>
      <c r="BW170" s="280">
        <f t="shared" si="835"/>
        <v>5</v>
      </c>
      <c r="BX170" s="118">
        <f>IF($AN170="Ya",100%,100%+extraDelayZ)</f>
        <v>1</v>
      </c>
      <c r="BY170" s="263">
        <f t="shared" si="1001"/>
        <v>1</v>
      </c>
      <c r="BZ170" s="264">
        <f t="shared" si="1002"/>
        <v>1</v>
      </c>
      <c r="CA170" s="264">
        <f t="shared" si="1003"/>
        <v>1</v>
      </c>
      <c r="CB170" s="264">
        <f t="shared" si="1004"/>
        <v>1</v>
      </c>
      <c r="CC170" s="264">
        <f t="shared" si="1005"/>
        <v>1</v>
      </c>
      <c r="CD170" s="264">
        <f t="shared" si="1006"/>
        <v>1</v>
      </c>
      <c r="CE170" s="264">
        <f t="shared" si="1007"/>
        <v>1</v>
      </c>
      <c r="CF170" s="264">
        <f t="shared" si="1008"/>
        <v>1</v>
      </c>
      <c r="CG170" s="264">
        <f t="shared" si="1009"/>
        <v>1</v>
      </c>
      <c r="CH170" s="264">
        <f t="shared" si="1010"/>
        <v>1</v>
      </c>
      <c r="CI170" s="264">
        <f t="shared" si="1011"/>
        <v>1</v>
      </c>
      <c r="CJ170" s="265">
        <f t="shared" si="1012"/>
        <v>1</v>
      </c>
      <c r="CK170" s="269">
        <f t="array" ref="CK170">IF(ISERROR(SUM($K170:$V170*$BY170:$CJ170)/SUM($K170:$V170)),1,SUM($K170:$V170*$BY170:$CJ170)/SUM($K170:$V170))-1</f>
        <v>0</v>
      </c>
      <c r="CL170" s="234"/>
    </row>
    <row r="171" spans="1:90" ht="12.75" hidden="1" outlineLevel="1" x14ac:dyDescent="0.2">
      <c r="B171" s="404" t="str">
        <f t="shared" ca="1" si="980"/>
        <v>Пакет "Охват 1800К", 240х400, F ~ 3-5</v>
      </c>
      <c r="C171" s="676" t="str">
        <f t="shared" ca="1" si="981"/>
        <v>Пакет</v>
      </c>
      <c r="D171" s="405">
        <f t="shared" ca="1" si="982"/>
        <v>350</v>
      </c>
      <c r="E171" s="405">
        <f t="shared" ca="1" si="983"/>
        <v>350</v>
      </c>
      <c r="F171" s="405">
        <f t="shared" ca="1" si="984"/>
        <v>350</v>
      </c>
      <c r="G171" s="406">
        <f t="shared" ca="1" si="985"/>
        <v>630000</v>
      </c>
      <c r="H171" s="406">
        <f t="shared" ca="1" si="986"/>
        <v>630000</v>
      </c>
      <c r="I171" s="406">
        <f t="shared" ca="1" si="987"/>
        <v>0</v>
      </c>
      <c r="J171" s="407">
        <f t="shared" ca="1" si="988"/>
        <v>0</v>
      </c>
      <c r="K171" s="408"/>
      <c r="L171" s="409"/>
      <c r="M171" s="409"/>
      <c r="N171" s="409"/>
      <c r="O171" s="409"/>
      <c r="P171" s="409"/>
      <c r="Q171" s="409"/>
      <c r="R171" s="409"/>
      <c r="S171" s="409"/>
      <c r="T171" s="409"/>
      <c r="U171" s="409"/>
      <c r="V171" s="410"/>
      <c r="W171" s="406">
        <f t="shared" ca="1" si="832"/>
        <v>0</v>
      </c>
      <c r="X171" s="406"/>
      <c r="Y171" s="411"/>
      <c r="Z171" s="412">
        <f t="shared" si="989"/>
        <v>0</v>
      </c>
      <c r="AA171" s="413"/>
      <c r="AB171" s="413"/>
      <c r="AC171" s="413"/>
      <c r="AD171" s="413"/>
      <c r="AE171" s="413"/>
      <c r="AF171" s="413"/>
      <c r="AG171" s="413"/>
      <c r="AH171" s="413"/>
      <c r="AI171" s="413"/>
      <c r="AJ171" s="413"/>
      <c r="AK171" s="413"/>
      <c r="AL171" s="413"/>
      <c r="AM171" s="572"/>
      <c r="AN171" s="351" t="s">
        <v>15</v>
      </c>
      <c r="AO171" s="351" t="str">
        <f t="shared" si="833"/>
        <v>Vesti.ru</v>
      </c>
      <c r="AP171" s="115">
        <f t="shared" si="883"/>
        <v>11</v>
      </c>
      <c r="AQ171" s="31">
        <f t="shared" ca="1" si="990"/>
        <v>0.25</v>
      </c>
      <c r="AR171" s="31">
        <f t="shared" ca="1" si="990"/>
        <v>0.15</v>
      </c>
      <c r="AS171" s="35">
        <v>0</v>
      </c>
      <c r="AT171" s="229">
        <v>0</v>
      </c>
      <c r="AU171" s="344">
        <f t="shared" ca="1" si="991"/>
        <v>350</v>
      </c>
      <c r="AV171" s="345">
        <f t="shared" ca="1" si="992"/>
        <v>350</v>
      </c>
      <c r="AW171" s="346">
        <f t="shared" ca="1" si="993"/>
        <v>350</v>
      </c>
      <c r="AX171" s="280"/>
      <c r="AY171" s="280"/>
      <c r="AZ171" s="347">
        <f t="shared" ca="1" si="994"/>
        <v>630000</v>
      </c>
      <c r="BA171" s="348">
        <f t="shared" ca="1" si="995"/>
        <v>630000</v>
      </c>
      <c r="BB171" s="347">
        <f t="shared" ca="1" si="996"/>
        <v>1800</v>
      </c>
      <c r="BC171" s="37" t="str">
        <f t="shared" ca="1" si="996"/>
        <v>Пакет</v>
      </c>
      <c r="BD171" s="229" t="str">
        <f t="shared" ca="1" si="997"/>
        <v>Пакет</v>
      </c>
      <c r="BE171" s="283">
        <f t="shared" ca="1" si="834"/>
        <v>0</v>
      </c>
      <c r="BF171" s="347">
        <f t="array" aca="1" ref="BF171" ca="1">SUM($K171:$V171*$BK171:$BV171)*$AZ171</f>
        <v>0</v>
      </c>
      <c r="BG171" s="347">
        <f t="array" aca="1" ref="BG171" ca="1">SUM($K171:$V171*$BY171:$CJ171*$BK171:$BV171)*$AZ171*$BX171</f>
        <v>0</v>
      </c>
      <c r="BH171" s="347">
        <f t="array" aca="1" ref="BH171" ca="1">SUM($K171:$V171*$BY171:$CJ171*$BK171:$BV171)*(1-$BE171)*$AZ171*$BX171</f>
        <v>0</v>
      </c>
      <c r="BI171" s="350">
        <f t="shared" ca="1" si="998"/>
        <v>0</v>
      </c>
      <c r="BJ171" s="275" t="str">
        <f t="shared" ca="1" si="999"/>
        <v>Да</v>
      </c>
      <c r="BK171" s="116">
        <f t="shared" ca="1" si="1000"/>
        <v>0.8</v>
      </c>
      <c r="BL171" s="117">
        <f t="shared" ca="1" si="1000"/>
        <v>0.9</v>
      </c>
      <c r="BM171" s="117">
        <f t="shared" ca="1" si="1000"/>
        <v>1</v>
      </c>
      <c r="BN171" s="117">
        <f t="shared" ca="1" si="1000"/>
        <v>1</v>
      </c>
      <c r="BO171" s="117">
        <f t="shared" ca="1" si="1000"/>
        <v>1</v>
      </c>
      <c r="BP171" s="117">
        <f t="shared" ca="1" si="1000"/>
        <v>1</v>
      </c>
      <c r="BQ171" s="117">
        <f t="shared" ca="1" si="1000"/>
        <v>0.9</v>
      </c>
      <c r="BR171" s="117">
        <f t="shared" ca="1" si="1000"/>
        <v>0.9</v>
      </c>
      <c r="BS171" s="117">
        <f t="shared" ca="1" si="1000"/>
        <v>1.3</v>
      </c>
      <c r="BT171" s="117">
        <f t="shared" ca="1" si="1000"/>
        <v>1.3</v>
      </c>
      <c r="BU171" s="117">
        <f t="shared" ca="1" si="1000"/>
        <v>1.3</v>
      </c>
      <c r="BV171" s="278">
        <f t="shared" ca="1" si="1000"/>
        <v>1.3</v>
      </c>
      <c r="BW171" s="280">
        <f t="shared" si="835"/>
        <v>6</v>
      </c>
      <c r="BX171" s="118">
        <f>IF($AN171="Ya",100%,100%+extraDelayZ)</f>
        <v>1</v>
      </c>
      <c r="BY171" s="263">
        <f t="shared" si="1001"/>
        <v>1</v>
      </c>
      <c r="BZ171" s="264">
        <f t="shared" si="1002"/>
        <v>1</v>
      </c>
      <c r="CA171" s="264">
        <f t="shared" si="1003"/>
        <v>1</v>
      </c>
      <c r="CB171" s="264">
        <f t="shared" si="1004"/>
        <v>1</v>
      </c>
      <c r="CC171" s="264">
        <f t="shared" si="1005"/>
        <v>1</v>
      </c>
      <c r="CD171" s="264">
        <f t="shared" si="1006"/>
        <v>1</v>
      </c>
      <c r="CE171" s="264">
        <f t="shared" si="1007"/>
        <v>1</v>
      </c>
      <c r="CF171" s="264">
        <f t="shared" si="1008"/>
        <v>1</v>
      </c>
      <c r="CG171" s="264">
        <f t="shared" si="1009"/>
        <v>1</v>
      </c>
      <c r="CH171" s="264">
        <f t="shared" si="1010"/>
        <v>1</v>
      </c>
      <c r="CI171" s="264">
        <f t="shared" si="1011"/>
        <v>1</v>
      </c>
      <c r="CJ171" s="265">
        <f t="shared" si="1012"/>
        <v>1</v>
      </c>
      <c r="CK171" s="269">
        <f t="array" ref="CK171">IF(ISERROR(SUM($K171:$V171*$BY171:$CJ171)/SUM($K171:$V171)),1,SUM($K171:$V171*$BY171:$CJ171)/SUM($K171:$V171))-1</f>
        <v>0</v>
      </c>
      <c r="CL171" s="234"/>
    </row>
    <row r="172" spans="1:90" ht="12.75" hidden="1" outlineLevel="1" x14ac:dyDescent="0.2">
      <c r="B172" s="404" t="str">
        <f t="shared" ca="1" si="980"/>
        <v>Все страницы, 100%х90</v>
      </c>
      <c r="C172" s="676" t="str">
        <f t="shared" ca="1" si="981"/>
        <v>х1000</v>
      </c>
      <c r="D172" s="405">
        <f t="shared" ca="1" si="982"/>
        <v>300</v>
      </c>
      <c r="E172" s="405">
        <f t="shared" ca="1" si="983"/>
        <v>300</v>
      </c>
      <c r="F172" s="405">
        <f t="shared" ca="1" si="984"/>
        <v>300</v>
      </c>
      <c r="G172" s="406">
        <f t="shared" ca="1" si="985"/>
        <v>300</v>
      </c>
      <c r="H172" s="406">
        <f t="shared" ca="1" si="986"/>
        <v>300</v>
      </c>
      <c r="I172" s="406">
        <f t="shared" ca="1" si="987"/>
        <v>0</v>
      </c>
      <c r="J172" s="407">
        <f t="shared" ca="1" si="988"/>
        <v>0</v>
      </c>
      <c r="K172" s="408"/>
      <c r="L172" s="409"/>
      <c r="M172" s="409"/>
      <c r="N172" s="409"/>
      <c r="O172" s="409"/>
      <c r="P172" s="409"/>
      <c r="Q172" s="409"/>
      <c r="R172" s="409"/>
      <c r="S172" s="409"/>
      <c r="T172" s="409"/>
      <c r="U172" s="409"/>
      <c r="V172" s="410"/>
      <c r="W172" s="406">
        <f t="shared" ca="1" si="832"/>
        <v>0</v>
      </c>
      <c r="X172" s="406"/>
      <c r="Y172" s="411"/>
      <c r="Z172" s="412">
        <f t="shared" ref="Z172" si="1013">CK172</f>
        <v>0</v>
      </c>
      <c r="AA172" s="413"/>
      <c r="AB172" s="413"/>
      <c r="AC172" s="413"/>
      <c r="AD172" s="413"/>
      <c r="AE172" s="413"/>
      <c r="AF172" s="413"/>
      <c r="AG172" s="413"/>
      <c r="AH172" s="413"/>
      <c r="AI172" s="413"/>
      <c r="AJ172" s="413"/>
      <c r="AK172" s="413"/>
      <c r="AL172" s="413"/>
      <c r="AM172" s="572"/>
      <c r="AN172" s="351" t="s">
        <v>15</v>
      </c>
      <c r="AO172" s="351" t="str">
        <f t="shared" si="833"/>
        <v>Vesti.ru</v>
      </c>
      <c r="AP172" s="115">
        <f t="shared" si="883"/>
        <v>11</v>
      </c>
      <c r="AQ172" s="31">
        <f t="shared" ca="1" si="990"/>
        <v>0.25</v>
      </c>
      <c r="AR172" s="31">
        <f t="shared" ca="1" si="990"/>
        <v>0.15</v>
      </c>
      <c r="AS172" s="35">
        <v>0</v>
      </c>
      <c r="AT172" s="229">
        <v>0</v>
      </c>
      <c r="AU172" s="344">
        <f t="shared" ca="1" si="991"/>
        <v>300</v>
      </c>
      <c r="AV172" s="345">
        <f t="shared" ca="1" si="992"/>
        <v>300</v>
      </c>
      <c r="AW172" s="346">
        <f t="shared" ca="1" si="993"/>
        <v>300</v>
      </c>
      <c r="AX172" s="280"/>
      <c r="AY172" s="280"/>
      <c r="AZ172" s="347">
        <f t="shared" ca="1" si="994"/>
        <v>300</v>
      </c>
      <c r="BA172" s="348">
        <f t="shared" ca="1" si="995"/>
        <v>300</v>
      </c>
      <c r="BB172" s="347">
        <f t="shared" ca="1" si="996"/>
        <v>1</v>
      </c>
      <c r="BC172" s="37" t="str">
        <f t="shared" ca="1" si="996"/>
        <v>1000 контактов</v>
      </c>
      <c r="BD172" s="229" t="str">
        <f t="shared" ca="1" si="997"/>
        <v>х1000</v>
      </c>
      <c r="BE172" s="283">
        <f t="shared" ca="1" si="834"/>
        <v>0</v>
      </c>
      <c r="BF172" s="347">
        <f t="array" aca="1" ref="BF172" ca="1">SUM($K172:$V172*$BK172:$BV172)*$AZ172</f>
        <v>0</v>
      </c>
      <c r="BG172" s="347">
        <f t="array" aca="1" ref="BG172" ca="1">SUM($K172:$V172*$BY172:$CJ172*$BK172:$BV172)*$AZ172*$BX172</f>
        <v>0</v>
      </c>
      <c r="BH172" s="347">
        <f t="array" aca="1" ref="BH172" ca="1">SUM($K172:$V172*$BY172:$CJ172*$BK172:$BV172)*(1-$BE172)*$AZ172*$BX172</f>
        <v>0</v>
      </c>
      <c r="BI172" s="350">
        <f t="shared" ca="1" si="998"/>
        <v>0</v>
      </c>
      <c r="BJ172" s="275" t="str">
        <f t="shared" ca="1" si="999"/>
        <v>Да</v>
      </c>
      <c r="BK172" s="116">
        <f t="shared" ca="1" si="1000"/>
        <v>0.8</v>
      </c>
      <c r="BL172" s="117">
        <f t="shared" ca="1" si="1000"/>
        <v>0.9</v>
      </c>
      <c r="BM172" s="117">
        <f t="shared" ca="1" si="1000"/>
        <v>1</v>
      </c>
      <c r="BN172" s="117">
        <f t="shared" ca="1" si="1000"/>
        <v>1</v>
      </c>
      <c r="BO172" s="117">
        <f t="shared" ca="1" si="1000"/>
        <v>1</v>
      </c>
      <c r="BP172" s="117">
        <f t="shared" ca="1" si="1000"/>
        <v>1</v>
      </c>
      <c r="BQ172" s="117">
        <f t="shared" ca="1" si="1000"/>
        <v>0.9</v>
      </c>
      <c r="BR172" s="117">
        <f t="shared" ca="1" si="1000"/>
        <v>0.9</v>
      </c>
      <c r="BS172" s="117">
        <f t="shared" ca="1" si="1000"/>
        <v>1.3</v>
      </c>
      <c r="BT172" s="117">
        <f t="shared" ca="1" si="1000"/>
        <v>1.3</v>
      </c>
      <c r="BU172" s="117">
        <f t="shared" ca="1" si="1000"/>
        <v>1.3</v>
      </c>
      <c r="BV172" s="278">
        <f t="shared" ca="1" si="1000"/>
        <v>1.3</v>
      </c>
      <c r="BW172" s="280">
        <f t="shared" si="835"/>
        <v>7</v>
      </c>
      <c r="BX172" s="118">
        <f>IF($AN172="Ya",100%,100%+extraDelayZ)</f>
        <v>1</v>
      </c>
      <c r="BY172" s="263">
        <f t="shared" ref="BY172" si="1014">(1+AA172)</f>
        <v>1</v>
      </c>
      <c r="BZ172" s="264">
        <f t="shared" ref="BZ172" si="1015">(1+AB172)</f>
        <v>1</v>
      </c>
      <c r="CA172" s="264">
        <f t="shared" ref="CA172" si="1016">(1+AC172)</f>
        <v>1</v>
      </c>
      <c r="CB172" s="264">
        <f t="shared" ref="CB172" si="1017">(1+AD172)</f>
        <v>1</v>
      </c>
      <c r="CC172" s="264">
        <f t="shared" ref="CC172" si="1018">(1+AE172)</f>
        <v>1</v>
      </c>
      <c r="CD172" s="264">
        <f t="shared" ref="CD172" si="1019">(1+AF172)</f>
        <v>1</v>
      </c>
      <c r="CE172" s="264">
        <f t="shared" ref="CE172" si="1020">(1+AG172)</f>
        <v>1</v>
      </c>
      <c r="CF172" s="264">
        <f t="shared" ref="CF172" si="1021">(1+AH172)</f>
        <v>1</v>
      </c>
      <c r="CG172" s="264">
        <f t="shared" ref="CG172" si="1022">(1+AI172)</f>
        <v>1</v>
      </c>
      <c r="CH172" s="264">
        <f t="shared" ref="CH172" si="1023">(1+AJ172)</f>
        <v>1</v>
      </c>
      <c r="CI172" s="264">
        <f t="shared" ref="CI172" si="1024">(1+AK172)</f>
        <v>1</v>
      </c>
      <c r="CJ172" s="265">
        <f t="shared" ref="CJ172" si="1025">(1+AL172)</f>
        <v>1</v>
      </c>
      <c r="CK172" s="269">
        <f t="array" ref="CK172">IF(ISERROR(SUM($K172:$V172*$BY172:$CJ172)/SUM($K172:$V172)),1,SUM($K172:$V172*$BY172:$CJ172)/SUM($K172:$V172))-1</f>
        <v>0</v>
      </c>
      <c r="CL172" s="234"/>
    </row>
    <row r="173" spans="1:90" ht="12.75" hidden="1" outlineLevel="1" x14ac:dyDescent="0.2">
      <c r="B173" s="404" t="str">
        <f t="shared" ca="1" si="980"/>
        <v>Все страницы, 240х400</v>
      </c>
      <c r="C173" s="676" t="str">
        <f t="shared" ca="1" si="981"/>
        <v>х1000</v>
      </c>
      <c r="D173" s="405">
        <f t="shared" ca="1" si="982"/>
        <v>500</v>
      </c>
      <c r="E173" s="405">
        <f t="shared" ca="1" si="983"/>
        <v>500</v>
      </c>
      <c r="F173" s="405">
        <f t="shared" ca="1" si="984"/>
        <v>500</v>
      </c>
      <c r="G173" s="406">
        <f t="shared" ca="1" si="985"/>
        <v>500</v>
      </c>
      <c r="H173" s="406">
        <f t="shared" ca="1" si="986"/>
        <v>500</v>
      </c>
      <c r="I173" s="406">
        <f t="shared" ca="1" si="987"/>
        <v>0</v>
      </c>
      <c r="J173" s="407">
        <f t="shared" ca="1" si="988"/>
        <v>0</v>
      </c>
      <c r="K173" s="408"/>
      <c r="L173" s="409"/>
      <c r="M173" s="409"/>
      <c r="N173" s="409"/>
      <c r="O173" s="409"/>
      <c r="P173" s="409"/>
      <c r="Q173" s="409"/>
      <c r="R173" s="409"/>
      <c r="S173" s="409"/>
      <c r="T173" s="409"/>
      <c r="U173" s="409"/>
      <c r="V173" s="410"/>
      <c r="W173" s="406">
        <f t="shared" ca="1" si="832"/>
        <v>0</v>
      </c>
      <c r="X173" s="406"/>
      <c r="Y173" s="411"/>
      <c r="Z173" s="412">
        <f t="shared" si="989"/>
        <v>0</v>
      </c>
      <c r="AA173" s="413"/>
      <c r="AB173" s="413"/>
      <c r="AC173" s="413"/>
      <c r="AD173" s="413"/>
      <c r="AE173" s="413"/>
      <c r="AF173" s="413"/>
      <c r="AG173" s="413"/>
      <c r="AH173" s="413"/>
      <c r="AI173" s="413"/>
      <c r="AJ173" s="413"/>
      <c r="AK173" s="413"/>
      <c r="AL173" s="413"/>
      <c r="AM173" s="572"/>
      <c r="AN173" s="351" t="s">
        <v>15</v>
      </c>
      <c r="AO173" s="351" t="str">
        <f t="shared" si="833"/>
        <v>Vesti.ru</v>
      </c>
      <c r="AP173" s="115">
        <f t="shared" si="883"/>
        <v>11</v>
      </c>
      <c r="AQ173" s="31">
        <f t="shared" ca="1" si="990"/>
        <v>0.25</v>
      </c>
      <c r="AR173" s="31">
        <f t="shared" ca="1" si="990"/>
        <v>0.15</v>
      </c>
      <c r="AS173" s="35">
        <v>0</v>
      </c>
      <c r="AT173" s="229">
        <v>0</v>
      </c>
      <c r="AU173" s="344">
        <f t="shared" ca="1" si="991"/>
        <v>500</v>
      </c>
      <c r="AV173" s="345">
        <f t="shared" ca="1" si="992"/>
        <v>500</v>
      </c>
      <c r="AW173" s="346">
        <f t="shared" ca="1" si="993"/>
        <v>500</v>
      </c>
      <c r="AX173" s="280"/>
      <c r="AY173" s="280"/>
      <c r="AZ173" s="347">
        <f t="shared" ca="1" si="994"/>
        <v>500</v>
      </c>
      <c r="BA173" s="348">
        <f t="shared" ca="1" si="995"/>
        <v>500</v>
      </c>
      <c r="BB173" s="347">
        <f t="shared" ca="1" si="996"/>
        <v>1</v>
      </c>
      <c r="BC173" s="37" t="str">
        <f t="shared" ca="1" si="996"/>
        <v>1000 контактов</v>
      </c>
      <c r="BD173" s="229" t="str">
        <f t="shared" ca="1" si="997"/>
        <v>х1000</v>
      </c>
      <c r="BE173" s="283">
        <f t="shared" ca="1" si="834"/>
        <v>0</v>
      </c>
      <c r="BF173" s="347">
        <f t="array" aca="1" ref="BF173" ca="1">SUM($K173:$V173*$BK173:$BV173)*$AZ173</f>
        <v>0</v>
      </c>
      <c r="BG173" s="347">
        <f t="array" aca="1" ref="BG173" ca="1">SUM($K173:$V173*$BY173:$CJ173*$BK173:$BV173)*$AZ173*$BX173</f>
        <v>0</v>
      </c>
      <c r="BH173" s="347">
        <f t="array" aca="1" ref="BH173" ca="1">SUM($K173:$V173*$BY173:$CJ173*$BK173:$BV173)*(1-$BE173)*$AZ173*$BX173</f>
        <v>0</v>
      </c>
      <c r="BI173" s="350">
        <f t="shared" ca="1" si="998"/>
        <v>0</v>
      </c>
      <c r="BJ173" s="275" t="str">
        <f t="shared" ca="1" si="999"/>
        <v>Да</v>
      </c>
      <c r="BK173" s="116">
        <f t="shared" ca="1" si="1000"/>
        <v>0.8</v>
      </c>
      <c r="BL173" s="117">
        <f t="shared" ca="1" si="1000"/>
        <v>0.9</v>
      </c>
      <c r="BM173" s="117">
        <f t="shared" ca="1" si="1000"/>
        <v>1</v>
      </c>
      <c r="BN173" s="117">
        <f t="shared" ca="1" si="1000"/>
        <v>1</v>
      </c>
      <c r="BO173" s="117">
        <f t="shared" ca="1" si="1000"/>
        <v>1</v>
      </c>
      <c r="BP173" s="117">
        <f t="shared" ca="1" si="1000"/>
        <v>1</v>
      </c>
      <c r="BQ173" s="117">
        <f t="shared" ca="1" si="1000"/>
        <v>0.9</v>
      </c>
      <c r="BR173" s="117">
        <f t="shared" ca="1" si="1000"/>
        <v>0.9</v>
      </c>
      <c r="BS173" s="117">
        <f t="shared" ca="1" si="1000"/>
        <v>1.3</v>
      </c>
      <c r="BT173" s="117">
        <f t="shared" ca="1" si="1000"/>
        <v>1.3</v>
      </c>
      <c r="BU173" s="117">
        <f t="shared" ca="1" si="1000"/>
        <v>1.3</v>
      </c>
      <c r="BV173" s="278">
        <f t="shared" ca="1" si="1000"/>
        <v>1.3</v>
      </c>
      <c r="BW173" s="280">
        <f t="shared" si="835"/>
        <v>8</v>
      </c>
      <c r="BX173" s="118">
        <f>IF($AN173="Ya",100%,100%+extraDelayZ)</f>
        <v>1</v>
      </c>
      <c r="BY173" s="263">
        <f t="shared" si="1001"/>
        <v>1</v>
      </c>
      <c r="BZ173" s="264">
        <f t="shared" si="1002"/>
        <v>1</v>
      </c>
      <c r="CA173" s="264">
        <f t="shared" si="1003"/>
        <v>1</v>
      </c>
      <c r="CB173" s="264">
        <f t="shared" si="1004"/>
        <v>1</v>
      </c>
      <c r="CC173" s="264">
        <f t="shared" si="1005"/>
        <v>1</v>
      </c>
      <c r="CD173" s="264">
        <f t="shared" si="1006"/>
        <v>1</v>
      </c>
      <c r="CE173" s="264">
        <f t="shared" si="1007"/>
        <v>1</v>
      </c>
      <c r="CF173" s="264">
        <f t="shared" si="1008"/>
        <v>1</v>
      </c>
      <c r="CG173" s="264">
        <f t="shared" si="1009"/>
        <v>1</v>
      </c>
      <c r="CH173" s="264">
        <f t="shared" si="1010"/>
        <v>1</v>
      </c>
      <c r="CI173" s="264">
        <f t="shared" si="1011"/>
        <v>1</v>
      </c>
      <c r="CJ173" s="265">
        <f t="shared" si="1012"/>
        <v>1</v>
      </c>
      <c r="CK173" s="269">
        <f t="array" ref="CK173">IF(ISERROR(SUM($K173:$V173*$BY173:$CJ173)/SUM($K173:$V173)),1,SUM($K173:$V173*$BY173:$CJ173)/SUM($K173:$V173))-1</f>
        <v>0</v>
      </c>
      <c r="CL173" s="234"/>
    </row>
    <row r="174" spans="1:90" ht="12.75" hidden="1" outlineLevel="1" x14ac:dyDescent="0.2">
      <c r="B174" s="404" t="str">
        <f t="shared" ca="1" si="980"/>
        <v>Все страницы раздела "Авто", 240х400</v>
      </c>
      <c r="C174" s="676" t="str">
        <f t="shared" ca="1" si="981"/>
        <v>х1000</v>
      </c>
      <c r="D174" s="405">
        <f t="shared" ca="1" si="982"/>
        <v>500</v>
      </c>
      <c r="E174" s="405">
        <f t="shared" ca="1" si="983"/>
        <v>500</v>
      </c>
      <c r="F174" s="405">
        <f t="shared" ca="1" si="984"/>
        <v>500</v>
      </c>
      <c r="G174" s="406">
        <f t="shared" ca="1" si="985"/>
        <v>500</v>
      </c>
      <c r="H174" s="406">
        <f t="shared" ca="1" si="986"/>
        <v>500</v>
      </c>
      <c r="I174" s="406">
        <f t="shared" ca="1" si="987"/>
        <v>0</v>
      </c>
      <c r="J174" s="407">
        <f t="shared" ca="1" si="988"/>
        <v>0</v>
      </c>
      <c r="K174" s="408"/>
      <c r="L174" s="409"/>
      <c r="M174" s="409"/>
      <c r="N174" s="409"/>
      <c r="O174" s="409"/>
      <c r="P174" s="409"/>
      <c r="Q174" s="409"/>
      <c r="R174" s="409"/>
      <c r="S174" s="409"/>
      <c r="T174" s="409"/>
      <c r="U174" s="409"/>
      <c r="V174" s="410"/>
      <c r="W174" s="406">
        <f t="shared" ca="1" si="832"/>
        <v>0</v>
      </c>
      <c r="X174" s="406"/>
      <c r="Y174" s="411"/>
      <c r="Z174" s="412">
        <f t="shared" si="989"/>
        <v>0</v>
      </c>
      <c r="AA174" s="413"/>
      <c r="AB174" s="413"/>
      <c r="AC174" s="413"/>
      <c r="AD174" s="413"/>
      <c r="AE174" s="413"/>
      <c r="AF174" s="413"/>
      <c r="AG174" s="413"/>
      <c r="AH174" s="413"/>
      <c r="AI174" s="413"/>
      <c r="AJ174" s="413"/>
      <c r="AK174" s="413"/>
      <c r="AL174" s="413"/>
      <c r="AM174" s="572"/>
      <c r="AN174" s="351" t="s">
        <v>15</v>
      </c>
      <c r="AO174" s="351" t="str">
        <f t="shared" si="833"/>
        <v>Vesti.ru</v>
      </c>
      <c r="AP174" s="115">
        <f t="shared" si="883"/>
        <v>11</v>
      </c>
      <c r="AQ174" s="31">
        <f t="shared" ca="1" si="990"/>
        <v>0.25</v>
      </c>
      <c r="AR174" s="31">
        <f t="shared" ca="1" si="990"/>
        <v>0.15</v>
      </c>
      <c r="AS174" s="35">
        <v>0</v>
      </c>
      <c r="AT174" s="229">
        <v>0</v>
      </c>
      <c r="AU174" s="344">
        <f t="shared" ca="1" si="991"/>
        <v>500</v>
      </c>
      <c r="AV174" s="345">
        <f t="shared" ca="1" si="992"/>
        <v>500</v>
      </c>
      <c r="AW174" s="346">
        <f t="shared" ca="1" si="993"/>
        <v>500</v>
      </c>
      <c r="AX174" s="280"/>
      <c r="AY174" s="280"/>
      <c r="AZ174" s="347">
        <f t="shared" ca="1" si="994"/>
        <v>500</v>
      </c>
      <c r="BA174" s="348">
        <f t="shared" ca="1" si="995"/>
        <v>500</v>
      </c>
      <c r="BB174" s="347">
        <f t="shared" ca="1" si="996"/>
        <v>1</v>
      </c>
      <c r="BC174" s="37" t="str">
        <f t="shared" ca="1" si="996"/>
        <v>1000 контактов</v>
      </c>
      <c r="BD174" s="229" t="str">
        <f t="shared" ca="1" si="997"/>
        <v>х1000</v>
      </c>
      <c r="BE174" s="283">
        <f t="shared" ca="1" si="834"/>
        <v>0</v>
      </c>
      <c r="BF174" s="347">
        <f t="array" aca="1" ref="BF174" ca="1">SUM($K174:$V174*$BK174:$BV174)*$AZ174</f>
        <v>0</v>
      </c>
      <c r="BG174" s="347">
        <f t="array" aca="1" ref="BG174" ca="1">SUM($K174:$V174*$BY174:$CJ174*$BK174:$BV174)*$AZ174*$BX174</f>
        <v>0</v>
      </c>
      <c r="BH174" s="347">
        <f t="array" aca="1" ref="BH174" ca="1">SUM($K174:$V174*$BY174:$CJ174*$BK174:$BV174)*(1-$BE174)*$AZ174*$BX174</f>
        <v>0</v>
      </c>
      <c r="BI174" s="350">
        <f t="shared" ca="1" si="998"/>
        <v>0</v>
      </c>
      <c r="BJ174" s="275" t="str">
        <f t="shared" ca="1" si="999"/>
        <v>Да</v>
      </c>
      <c r="BK174" s="116">
        <f t="shared" ca="1" si="1000"/>
        <v>0.8</v>
      </c>
      <c r="BL174" s="117">
        <f t="shared" ca="1" si="1000"/>
        <v>0.9</v>
      </c>
      <c r="BM174" s="117">
        <f t="shared" ca="1" si="1000"/>
        <v>1</v>
      </c>
      <c r="BN174" s="117">
        <f t="shared" ca="1" si="1000"/>
        <v>1</v>
      </c>
      <c r="BO174" s="117">
        <f t="shared" ca="1" si="1000"/>
        <v>1</v>
      </c>
      <c r="BP174" s="117">
        <f t="shared" ca="1" si="1000"/>
        <v>1</v>
      </c>
      <c r="BQ174" s="117">
        <f t="shared" ca="1" si="1000"/>
        <v>0.9</v>
      </c>
      <c r="BR174" s="117">
        <f t="shared" ca="1" si="1000"/>
        <v>0.9</v>
      </c>
      <c r="BS174" s="117">
        <f t="shared" ca="1" si="1000"/>
        <v>1.3</v>
      </c>
      <c r="BT174" s="117">
        <f t="shared" ca="1" si="1000"/>
        <v>1.3</v>
      </c>
      <c r="BU174" s="117">
        <f t="shared" ca="1" si="1000"/>
        <v>1.3</v>
      </c>
      <c r="BV174" s="278">
        <f t="shared" ca="1" si="1000"/>
        <v>1.3</v>
      </c>
      <c r="BW174" s="280">
        <f t="shared" si="835"/>
        <v>9</v>
      </c>
      <c r="BX174" s="118">
        <f>IF($AN174="Ya",100%,100%+extraDelayZ)</f>
        <v>1</v>
      </c>
      <c r="BY174" s="263">
        <f t="shared" si="1001"/>
        <v>1</v>
      </c>
      <c r="BZ174" s="264">
        <f t="shared" si="1002"/>
        <v>1</v>
      </c>
      <c r="CA174" s="264">
        <f t="shared" si="1003"/>
        <v>1</v>
      </c>
      <c r="CB174" s="264">
        <f t="shared" si="1004"/>
        <v>1</v>
      </c>
      <c r="CC174" s="264">
        <f t="shared" si="1005"/>
        <v>1</v>
      </c>
      <c r="CD174" s="264">
        <f t="shared" si="1006"/>
        <v>1</v>
      </c>
      <c r="CE174" s="264">
        <f t="shared" si="1007"/>
        <v>1</v>
      </c>
      <c r="CF174" s="264">
        <f t="shared" si="1008"/>
        <v>1</v>
      </c>
      <c r="CG174" s="264">
        <f t="shared" si="1009"/>
        <v>1</v>
      </c>
      <c r="CH174" s="264">
        <f t="shared" si="1010"/>
        <v>1</v>
      </c>
      <c r="CI174" s="264">
        <f t="shared" si="1011"/>
        <v>1</v>
      </c>
      <c r="CJ174" s="265">
        <f t="shared" si="1012"/>
        <v>1</v>
      </c>
      <c r="CK174" s="269">
        <f t="array" ref="CK174">IF(ISERROR(SUM($K174:$V174*$BY174:$CJ174)/SUM($K174:$V174)),1,SUM($K174:$V174*$BY174:$CJ174)/SUM($K174:$V174))-1</f>
        <v>0</v>
      </c>
      <c r="CL174" s="234"/>
    </row>
    <row r="175" spans="1:90" ht="12.75" hidden="1" outlineLevel="1" x14ac:dyDescent="0.2">
      <c r="B175" s="404" t="str">
        <f t="shared" ca="1" si="980"/>
        <v>Главная страница, 475х300</v>
      </c>
      <c r="C175" s="676" t="str">
        <f t="shared" ca="1" si="981"/>
        <v>х1000</v>
      </c>
      <c r="D175" s="405">
        <f t="shared" ca="1" si="982"/>
        <v>400</v>
      </c>
      <c r="E175" s="405">
        <f t="shared" ca="1" si="983"/>
        <v>400</v>
      </c>
      <c r="F175" s="405">
        <f t="shared" ca="1" si="984"/>
        <v>400</v>
      </c>
      <c r="G175" s="406">
        <f t="shared" ca="1" si="985"/>
        <v>400</v>
      </c>
      <c r="H175" s="406">
        <f t="shared" ca="1" si="986"/>
        <v>400</v>
      </c>
      <c r="I175" s="406">
        <f t="shared" ca="1" si="987"/>
        <v>0</v>
      </c>
      <c r="J175" s="407">
        <f t="shared" ca="1" si="988"/>
        <v>0</v>
      </c>
      <c r="K175" s="408"/>
      <c r="L175" s="409"/>
      <c r="M175" s="409"/>
      <c r="N175" s="409"/>
      <c r="O175" s="409"/>
      <c r="P175" s="409"/>
      <c r="Q175" s="409"/>
      <c r="R175" s="409"/>
      <c r="S175" s="409"/>
      <c r="T175" s="409"/>
      <c r="U175" s="409"/>
      <c r="V175" s="410"/>
      <c r="W175" s="406">
        <f t="shared" ca="1" si="832"/>
        <v>0</v>
      </c>
      <c r="X175" s="406"/>
      <c r="Y175" s="411"/>
      <c r="Z175" s="412">
        <f t="shared" si="989"/>
        <v>0</v>
      </c>
      <c r="AA175" s="413"/>
      <c r="AB175" s="413"/>
      <c r="AC175" s="413"/>
      <c r="AD175" s="413"/>
      <c r="AE175" s="413"/>
      <c r="AF175" s="413"/>
      <c r="AG175" s="413"/>
      <c r="AH175" s="413"/>
      <c r="AI175" s="413"/>
      <c r="AJ175" s="413"/>
      <c r="AK175" s="413"/>
      <c r="AL175" s="413"/>
      <c r="AM175" s="572"/>
      <c r="AN175" s="351" t="s">
        <v>15</v>
      </c>
      <c r="AO175" s="351" t="str">
        <f t="shared" si="833"/>
        <v>Vesti.ru</v>
      </c>
      <c r="AP175" s="115">
        <f t="shared" si="883"/>
        <v>11</v>
      </c>
      <c r="AQ175" s="31">
        <f t="shared" ca="1" si="990"/>
        <v>0.25</v>
      </c>
      <c r="AR175" s="31">
        <f t="shared" ca="1" si="990"/>
        <v>0.15</v>
      </c>
      <c r="AS175" s="35">
        <v>0</v>
      </c>
      <c r="AT175" s="229">
        <v>0</v>
      </c>
      <c r="AU175" s="344">
        <f t="shared" ca="1" si="991"/>
        <v>400</v>
      </c>
      <c r="AV175" s="345">
        <f t="shared" ca="1" si="992"/>
        <v>400</v>
      </c>
      <c r="AW175" s="346">
        <f t="shared" ca="1" si="993"/>
        <v>400</v>
      </c>
      <c r="AX175" s="280"/>
      <c r="AY175" s="280"/>
      <c r="AZ175" s="347">
        <f t="shared" ca="1" si="994"/>
        <v>400</v>
      </c>
      <c r="BA175" s="348">
        <f t="shared" ca="1" si="995"/>
        <v>400</v>
      </c>
      <c r="BB175" s="347">
        <f t="shared" ca="1" si="996"/>
        <v>1</v>
      </c>
      <c r="BC175" s="37" t="str">
        <f t="shared" ca="1" si="996"/>
        <v>1000 контактов</v>
      </c>
      <c r="BD175" s="229" t="str">
        <f t="shared" ca="1" si="997"/>
        <v>х1000</v>
      </c>
      <c r="BE175" s="283">
        <f t="shared" ca="1" si="834"/>
        <v>0</v>
      </c>
      <c r="BF175" s="347">
        <f t="array" aca="1" ref="BF175" ca="1">SUM($K175:$V175*$BK175:$BV175)*$AZ175</f>
        <v>0</v>
      </c>
      <c r="BG175" s="347">
        <f t="array" aca="1" ref="BG175" ca="1">SUM($K175:$V175*$BY175:$CJ175*$BK175:$BV175)*$AZ175*$BX175</f>
        <v>0</v>
      </c>
      <c r="BH175" s="347">
        <f t="array" aca="1" ref="BH175" ca="1">SUM($K175:$V175*$BY175:$CJ175*$BK175:$BV175)*(1-$BE175)*$AZ175*$BX175</f>
        <v>0</v>
      </c>
      <c r="BI175" s="350">
        <f t="shared" ca="1" si="998"/>
        <v>0</v>
      </c>
      <c r="BJ175" s="275" t="str">
        <f t="shared" ca="1" si="999"/>
        <v>Да</v>
      </c>
      <c r="BK175" s="116">
        <f t="shared" ca="1" si="1000"/>
        <v>0.8</v>
      </c>
      <c r="BL175" s="117">
        <f t="shared" ca="1" si="1000"/>
        <v>0.9</v>
      </c>
      <c r="BM175" s="117">
        <f t="shared" ca="1" si="1000"/>
        <v>1</v>
      </c>
      <c r="BN175" s="117">
        <f t="shared" ca="1" si="1000"/>
        <v>1</v>
      </c>
      <c r="BO175" s="117">
        <f t="shared" ca="1" si="1000"/>
        <v>1</v>
      </c>
      <c r="BP175" s="117">
        <f t="shared" ca="1" si="1000"/>
        <v>1</v>
      </c>
      <c r="BQ175" s="117">
        <f t="shared" ca="1" si="1000"/>
        <v>0.9</v>
      </c>
      <c r="BR175" s="117">
        <f t="shared" ca="1" si="1000"/>
        <v>0.9</v>
      </c>
      <c r="BS175" s="117">
        <f t="shared" ca="1" si="1000"/>
        <v>1.3</v>
      </c>
      <c r="BT175" s="117">
        <f t="shared" ca="1" si="1000"/>
        <v>1.3</v>
      </c>
      <c r="BU175" s="117">
        <f t="shared" ca="1" si="1000"/>
        <v>1.3</v>
      </c>
      <c r="BV175" s="278">
        <f t="shared" ca="1" si="1000"/>
        <v>1.3</v>
      </c>
      <c r="BW175" s="280">
        <f t="shared" si="835"/>
        <v>10</v>
      </c>
      <c r="BX175" s="118">
        <f>IF($AN175="Ya",100%,100%+extraDelayZ)</f>
        <v>1</v>
      </c>
      <c r="BY175" s="263">
        <f t="shared" si="1001"/>
        <v>1</v>
      </c>
      <c r="BZ175" s="264">
        <f t="shared" si="1002"/>
        <v>1</v>
      </c>
      <c r="CA175" s="264">
        <f t="shared" si="1003"/>
        <v>1</v>
      </c>
      <c r="CB175" s="264">
        <f t="shared" si="1004"/>
        <v>1</v>
      </c>
      <c r="CC175" s="264">
        <f t="shared" si="1005"/>
        <v>1</v>
      </c>
      <c r="CD175" s="264">
        <f t="shared" si="1006"/>
        <v>1</v>
      </c>
      <c r="CE175" s="264">
        <f t="shared" si="1007"/>
        <v>1</v>
      </c>
      <c r="CF175" s="264">
        <f t="shared" si="1008"/>
        <v>1</v>
      </c>
      <c r="CG175" s="264">
        <f t="shared" si="1009"/>
        <v>1</v>
      </c>
      <c r="CH175" s="264">
        <f t="shared" si="1010"/>
        <v>1</v>
      </c>
      <c r="CI175" s="264">
        <f t="shared" si="1011"/>
        <v>1</v>
      </c>
      <c r="CJ175" s="265">
        <f t="shared" si="1012"/>
        <v>1</v>
      </c>
      <c r="CK175" s="269">
        <f t="array" ref="CK175">IF(ISERROR(SUM($K175:$V175*$BY175:$CJ175)/SUM($K175:$V175)),1,SUM($K175:$V175*$BY175:$CJ175)/SUM($K175:$V175))-1</f>
        <v>0</v>
      </c>
      <c r="CL175" s="234"/>
    </row>
    <row r="176" spans="1:90" ht="12.75" hidden="1" outlineLevel="1" x14ac:dyDescent="0.2">
      <c r="B176" s="414" t="str">
        <f t="shared" ca="1" si="980"/>
        <v>Главная страница, FullScreen</v>
      </c>
      <c r="C176" s="676" t="str">
        <f t="shared" ca="1" si="981"/>
        <v>х1000</v>
      </c>
      <c r="D176" s="415">
        <f t="shared" ca="1" si="982"/>
        <v>2500</v>
      </c>
      <c r="E176" s="415">
        <f t="shared" ca="1" si="983"/>
        <v>2500</v>
      </c>
      <c r="F176" s="415">
        <f t="shared" ca="1" si="984"/>
        <v>2500</v>
      </c>
      <c r="G176" s="416">
        <f t="shared" ca="1" si="985"/>
        <v>2500</v>
      </c>
      <c r="H176" s="416">
        <f t="shared" ca="1" si="986"/>
        <v>2500</v>
      </c>
      <c r="I176" s="406">
        <f t="shared" ca="1" si="987"/>
        <v>0</v>
      </c>
      <c r="J176" s="407">
        <f t="shared" ca="1" si="988"/>
        <v>0</v>
      </c>
      <c r="K176" s="417"/>
      <c r="L176" s="418"/>
      <c r="M176" s="418"/>
      <c r="N176" s="418"/>
      <c r="O176" s="418"/>
      <c r="P176" s="418"/>
      <c r="Q176" s="418"/>
      <c r="R176" s="418"/>
      <c r="S176" s="418"/>
      <c r="T176" s="418"/>
      <c r="U176" s="418"/>
      <c r="V176" s="419"/>
      <c r="W176" s="416">
        <f t="shared" ca="1" si="832"/>
        <v>0</v>
      </c>
      <c r="X176" s="416"/>
      <c r="Y176" s="420"/>
      <c r="Z176" s="412">
        <f t="shared" si="989"/>
        <v>0</v>
      </c>
      <c r="AA176" s="421"/>
      <c r="AB176" s="421"/>
      <c r="AC176" s="421"/>
      <c r="AD176" s="421"/>
      <c r="AE176" s="421"/>
      <c r="AF176" s="421"/>
      <c r="AG176" s="421"/>
      <c r="AH176" s="421"/>
      <c r="AI176" s="421"/>
      <c r="AJ176" s="421"/>
      <c r="AK176" s="421"/>
      <c r="AL176" s="421"/>
      <c r="AM176" s="573"/>
      <c r="AN176" s="351" t="s">
        <v>15</v>
      </c>
      <c r="AO176" s="351" t="str">
        <f t="shared" si="833"/>
        <v>Vesti.ru</v>
      </c>
      <c r="AP176" s="115">
        <f t="shared" si="883"/>
        <v>11</v>
      </c>
      <c r="AQ176" s="31" t="str">
        <f t="shared" ca="1" si="990"/>
        <v>-</v>
      </c>
      <c r="AR176" s="31" t="str">
        <f t="shared" ca="1" si="990"/>
        <v>-</v>
      </c>
      <c r="AS176" s="35">
        <v>0</v>
      </c>
      <c r="AT176" s="229">
        <v>0</v>
      </c>
      <c r="AU176" s="344">
        <f t="shared" ca="1" si="991"/>
        <v>2500</v>
      </c>
      <c r="AV176" s="345">
        <f t="shared" ca="1" si="992"/>
        <v>2500</v>
      </c>
      <c r="AW176" s="346">
        <f t="shared" ca="1" si="993"/>
        <v>2500</v>
      </c>
      <c r="AX176" s="280"/>
      <c r="AY176" s="280"/>
      <c r="AZ176" s="347">
        <f t="shared" ca="1" si="994"/>
        <v>2500</v>
      </c>
      <c r="BA176" s="348">
        <f t="shared" ca="1" si="995"/>
        <v>2500</v>
      </c>
      <c r="BB176" s="347">
        <f t="shared" ca="1" si="996"/>
        <v>1</v>
      </c>
      <c r="BC176" s="37" t="str">
        <f t="shared" ca="1" si="996"/>
        <v>1000 контактов</v>
      </c>
      <c r="BD176" s="229" t="str">
        <f t="shared" ca="1" si="997"/>
        <v>х1000</v>
      </c>
      <c r="BE176" s="283">
        <f t="shared" ca="1" si="834"/>
        <v>0</v>
      </c>
      <c r="BF176" s="347">
        <f t="array" aca="1" ref="BF176" ca="1">SUM($K176:$V176*$BK176:$BV176)*$AZ176</f>
        <v>0</v>
      </c>
      <c r="BG176" s="347">
        <f t="array" aca="1" ref="BG176" ca="1">SUM($K176:$V176*$BY176:$CJ176*$BK176:$BV176)*$AZ176*$BX176</f>
        <v>0</v>
      </c>
      <c r="BH176" s="347">
        <f t="array" aca="1" ref="BH176" ca="1">SUM($K176:$V176*$BY176:$CJ176*$BK176:$BV176)*(1-$BE176)*$AZ176*$BX176</f>
        <v>0</v>
      </c>
      <c r="BI176" s="350">
        <f t="shared" ca="1" si="998"/>
        <v>0</v>
      </c>
      <c r="BJ176" s="275" t="str">
        <f t="shared" ca="1" si="999"/>
        <v>Да</v>
      </c>
      <c r="BK176" s="116">
        <f t="shared" ca="1" si="1000"/>
        <v>0.8</v>
      </c>
      <c r="BL176" s="117">
        <f t="shared" ca="1" si="1000"/>
        <v>0.9</v>
      </c>
      <c r="BM176" s="117">
        <f t="shared" ca="1" si="1000"/>
        <v>1</v>
      </c>
      <c r="BN176" s="117">
        <f t="shared" ca="1" si="1000"/>
        <v>1</v>
      </c>
      <c r="BO176" s="117">
        <f t="shared" ca="1" si="1000"/>
        <v>1</v>
      </c>
      <c r="BP176" s="117">
        <f t="shared" ca="1" si="1000"/>
        <v>1</v>
      </c>
      <c r="BQ176" s="117">
        <f t="shared" ca="1" si="1000"/>
        <v>0.9</v>
      </c>
      <c r="BR176" s="117">
        <f t="shared" ca="1" si="1000"/>
        <v>0.9</v>
      </c>
      <c r="BS176" s="117">
        <f t="shared" ca="1" si="1000"/>
        <v>1.3</v>
      </c>
      <c r="BT176" s="117">
        <f t="shared" ca="1" si="1000"/>
        <v>1.3</v>
      </c>
      <c r="BU176" s="117">
        <f t="shared" ca="1" si="1000"/>
        <v>1.3</v>
      </c>
      <c r="BV176" s="278">
        <f t="shared" ca="1" si="1000"/>
        <v>1.3</v>
      </c>
      <c r="BW176" s="280">
        <f t="shared" si="835"/>
        <v>11</v>
      </c>
      <c r="BX176" s="118">
        <f>IF($AN176="Ya",100%,100%+extraDelayZ)</f>
        <v>1</v>
      </c>
      <c r="BY176" s="263">
        <f t="shared" si="1001"/>
        <v>1</v>
      </c>
      <c r="BZ176" s="264">
        <f t="shared" si="1002"/>
        <v>1</v>
      </c>
      <c r="CA176" s="264">
        <f t="shared" si="1003"/>
        <v>1</v>
      </c>
      <c r="CB176" s="264">
        <f t="shared" si="1004"/>
        <v>1</v>
      </c>
      <c r="CC176" s="264">
        <f t="shared" si="1005"/>
        <v>1</v>
      </c>
      <c r="CD176" s="264">
        <f t="shared" si="1006"/>
        <v>1</v>
      </c>
      <c r="CE176" s="264">
        <f t="shared" si="1007"/>
        <v>1</v>
      </c>
      <c r="CF176" s="264">
        <f t="shared" si="1008"/>
        <v>1</v>
      </c>
      <c r="CG176" s="264">
        <f t="shared" si="1009"/>
        <v>1</v>
      </c>
      <c r="CH176" s="264">
        <f t="shared" si="1010"/>
        <v>1</v>
      </c>
      <c r="CI176" s="264">
        <f t="shared" si="1011"/>
        <v>1</v>
      </c>
      <c r="CJ176" s="265">
        <f t="shared" si="1012"/>
        <v>1</v>
      </c>
      <c r="CK176" s="269">
        <f t="array" ref="CK176">IF(ISERROR(SUM($K176:$V176*$BY176:$CJ176)/SUM($K176:$V176)),1,SUM($K176:$V176*$BY176:$CJ176)/SUM($K176:$V176))-1</f>
        <v>0</v>
      </c>
      <c r="CL176" s="234"/>
    </row>
    <row r="177" spans="1:90" ht="15" collapsed="1" x14ac:dyDescent="0.2">
      <c r="A177" s="391"/>
      <c r="B177" s="392" t="str">
        <f>CONCATENATE($AO177,IF($AX177&gt;0,CONCATENATE("  (план ",TEXT(INDEX(indBudX,MATCH($AN177,indPrefixX,0)),"# ##0")," руб.)"),""))</f>
        <v>RIA.ru</v>
      </c>
      <c r="C177" s="650" t="s">
        <v>363</v>
      </c>
      <c r="D177" s="393"/>
      <c r="E177" s="394"/>
      <c r="F177" s="394"/>
      <c r="G177" s="395"/>
      <c r="H177" s="395"/>
      <c r="I177" s="395">
        <f t="shared" ca="1" si="987"/>
        <v>0</v>
      </c>
      <c r="J177" s="396">
        <f ca="1">$BH177</f>
        <v>0</v>
      </c>
      <c r="K177" s="397"/>
      <c r="L177" s="398"/>
      <c r="M177" s="398"/>
      <c r="N177" s="398"/>
      <c r="O177" s="398"/>
      <c r="P177" s="398"/>
      <c r="Q177" s="398"/>
      <c r="R177" s="398"/>
      <c r="S177" s="398"/>
      <c r="T177" s="398"/>
      <c r="U177" s="398"/>
      <c r="V177" s="399"/>
      <c r="W177" s="395">
        <f t="shared" ca="1" si="832"/>
        <v>0</v>
      </c>
      <c r="X177" s="576"/>
      <c r="Y177" s="400">
        <f ca="1">$BE177</f>
        <v>0</v>
      </c>
      <c r="Z177" s="401"/>
      <c r="AA177" s="402"/>
      <c r="AB177" s="402"/>
      <c r="AC177" s="402"/>
      <c r="AD177" s="402"/>
      <c r="AE177" s="402"/>
      <c r="AF177" s="402"/>
      <c r="AG177" s="402"/>
      <c r="AH177" s="402"/>
      <c r="AI177" s="402"/>
      <c r="AJ177" s="402"/>
      <c r="AK177" s="402"/>
      <c r="AL177" s="402"/>
      <c r="AM177" s="403"/>
      <c r="AN177" s="130" t="s">
        <v>129</v>
      </c>
      <c r="AO177" s="130" t="str">
        <f t="shared" si="833"/>
        <v>RIA.ru</v>
      </c>
      <c r="AP177" s="119">
        <f t="shared" si="883"/>
        <v>29</v>
      </c>
      <c r="AQ177" s="120"/>
      <c r="AR177" s="120"/>
      <c r="AS177" s="121"/>
      <c r="AT177" s="228"/>
      <c r="AU177" s="232"/>
      <c r="AV177" s="179"/>
      <c r="AW177" s="233"/>
      <c r="AX177" s="279">
        <f>IF(ISERROR(INDEX(indBudX,MATCH($AN177,indPrefixX,0))),0,INDEX(indBudX,MATCH($AN177,indPrefixX,0)))</f>
        <v>0</v>
      </c>
      <c r="AY177" s="279">
        <f>IF(ISNUMBER($X177),$X177,0)</f>
        <v>0</v>
      </c>
      <c r="AZ177" s="123"/>
      <c r="BA177" s="125"/>
      <c r="BB177" s="123"/>
      <c r="BC177" s="124"/>
      <c r="BD177" s="464"/>
      <c r="BE177" s="282">
        <f t="shared" ca="1" si="834"/>
        <v>0</v>
      </c>
      <c r="BF177" s="123">
        <f t="shared" ref="BF177:BI177" ca="1" si="1026">SUM(OFFSET(BF177,1,0,$AP177-1,1))</f>
        <v>0</v>
      </c>
      <c r="BG177" s="123">
        <f t="shared" ca="1" si="1026"/>
        <v>0</v>
      </c>
      <c r="BH177" s="123">
        <f t="shared" ca="1" si="1026"/>
        <v>0</v>
      </c>
      <c r="BI177" s="273">
        <f t="shared" ca="1" si="1026"/>
        <v>0</v>
      </c>
      <c r="BJ177" s="274"/>
      <c r="BK177" s="126"/>
      <c r="BL177" s="127"/>
      <c r="BM177" s="127"/>
      <c r="BN177" s="127"/>
      <c r="BO177" s="127"/>
      <c r="BP177" s="127"/>
      <c r="BQ177" s="127"/>
      <c r="BR177" s="127"/>
      <c r="BS177" s="127"/>
      <c r="BT177" s="127"/>
      <c r="BU177" s="127"/>
      <c r="BV177" s="277"/>
      <c r="BW177" s="279">
        <f t="shared" si="835"/>
        <v>1</v>
      </c>
      <c r="BX177" s="128"/>
      <c r="BY177" s="260"/>
      <c r="BZ177" s="261"/>
      <c r="CA177" s="261"/>
      <c r="CB177" s="261"/>
      <c r="CC177" s="261"/>
      <c r="CD177" s="261"/>
      <c r="CE177" s="261"/>
      <c r="CF177" s="261"/>
      <c r="CG177" s="261"/>
      <c r="CH177" s="261"/>
      <c r="CI177" s="261"/>
      <c r="CJ177" s="262"/>
      <c r="CK177" s="270"/>
      <c r="CL177" s="234"/>
    </row>
    <row r="178" spans="1:90" ht="12.75" hidden="1" outlineLevel="1" x14ac:dyDescent="0.2">
      <c r="B178" s="404" t="str">
        <f t="shared" ref="B178:B205" ca="1" si="1027">INDEX(INDIRECT(LOWER($AN178)&amp;"Price"),$BW178,2)</f>
        <v>Все страницы Ria.ru, 240х400</v>
      </c>
      <c r="C178" s="649" t="str">
        <f t="shared" ref="C178:C205" ca="1" si="1028">$BD178</f>
        <v>х1000</v>
      </c>
      <c r="D178" s="405">
        <f t="shared" ref="D178:D205" ca="1" si="1029">$AU178</f>
        <v>550</v>
      </c>
      <c r="E178" s="405">
        <f t="shared" ref="E178:E205" ca="1" si="1030">$AV178</f>
        <v>550</v>
      </c>
      <c r="F178" s="405">
        <f t="shared" ref="F178:F205" ca="1" si="1031">$AW178</f>
        <v>550</v>
      </c>
      <c r="G178" s="406">
        <f t="shared" ref="G178:G205" ca="1" si="1032">$AZ178</f>
        <v>550</v>
      </c>
      <c r="H178" s="406">
        <f t="shared" ref="H178:H205" ca="1" si="1033">$BA178</f>
        <v>550</v>
      </c>
      <c r="I178" s="406">
        <f t="shared" ref="I178:I206" ca="1" si="1034">$BG178</f>
        <v>0</v>
      </c>
      <c r="J178" s="407">
        <f t="shared" ref="J178:J205" ca="1" si="1035">$BH178</f>
        <v>0</v>
      </c>
      <c r="K178" s="408"/>
      <c r="L178" s="409"/>
      <c r="M178" s="409"/>
      <c r="N178" s="409"/>
      <c r="O178" s="409"/>
      <c r="P178" s="409"/>
      <c r="Q178" s="409"/>
      <c r="R178" s="409"/>
      <c r="S178" s="409"/>
      <c r="T178" s="409"/>
      <c r="U178" s="409"/>
      <c r="V178" s="410"/>
      <c r="W178" s="406">
        <f t="shared" ca="1" si="832"/>
        <v>0</v>
      </c>
      <c r="X178" s="406"/>
      <c r="Y178" s="411"/>
      <c r="Z178" s="412">
        <f t="shared" ref="Z178:Z205" si="1036">CK178</f>
        <v>0</v>
      </c>
      <c r="AA178" s="413"/>
      <c r="AB178" s="413"/>
      <c r="AC178" s="413"/>
      <c r="AD178" s="413"/>
      <c r="AE178" s="413"/>
      <c r="AF178" s="413"/>
      <c r="AG178" s="413"/>
      <c r="AH178" s="413"/>
      <c r="AI178" s="413"/>
      <c r="AJ178" s="413"/>
      <c r="AK178" s="413"/>
      <c r="AL178" s="413"/>
      <c r="AM178" s="572"/>
      <c r="AN178" s="351" t="s">
        <v>129</v>
      </c>
      <c r="AO178" s="351" t="str">
        <f t="shared" si="833"/>
        <v>RIA.ru</v>
      </c>
      <c r="AP178" s="115">
        <f t="shared" si="883"/>
        <v>29</v>
      </c>
      <c r="AQ178" s="31">
        <f t="shared" ref="AQ178:AR205" ca="1" si="1037">HLOOKUP(AQ$10,INDIRECT(LOWER($AN178)&amp;"Price"),$BW178,FALSE)</f>
        <v>0.25</v>
      </c>
      <c r="AR178" s="31">
        <f t="shared" ca="1" si="1037"/>
        <v>0</v>
      </c>
      <c r="AS178" s="35">
        <v>0</v>
      </c>
      <c r="AT178" s="229">
        <v>0</v>
      </c>
      <c r="AU178" s="344">
        <f t="shared" ref="AU178:AU205" ca="1" si="1038">HLOOKUP(AU$10,INDIRECT(LOWER($AN178)&amp;"Price"),$BW178,FALSE)</f>
        <v>550</v>
      </c>
      <c r="AV178" s="345">
        <f t="shared" ref="AV178:AV205" ca="1" si="1039">IF(ISERROR($BG178/$BI178),$AU178,$BG178/$BI178)</f>
        <v>550</v>
      </c>
      <c r="AW178" s="346">
        <f t="shared" ref="AW178:AW205" ca="1" si="1040">$AV178*(1-$BE178)</f>
        <v>550</v>
      </c>
      <c r="AX178" s="280"/>
      <c r="AY178" s="280"/>
      <c r="AZ178" s="347">
        <f t="shared" ref="AZ178:AZ205" ca="1" si="1041">HLOOKUP(AZ$10,INDIRECT(LOWER($AN178)&amp;"Price"),$BW178,FALSE)</f>
        <v>550</v>
      </c>
      <c r="BA178" s="348">
        <f t="shared" ref="BA178:BA205" ca="1" si="1042">$AZ178*(1-$BE178)</f>
        <v>550</v>
      </c>
      <c r="BB178" s="347">
        <f t="shared" ref="BB178:BC205" ca="1" si="1043">HLOOKUP(BB$10,INDIRECT(LOWER($AN178)&amp;"Price"),$BW178,FALSE)</f>
        <v>1</v>
      </c>
      <c r="BC178" s="37" t="str">
        <f t="shared" ca="1" si="1043"/>
        <v>1000 контактов</v>
      </c>
      <c r="BD178" s="229" t="str">
        <f t="shared" ref="BD178:BD205" ca="1" si="1044">IF(ISERROR(VLOOKUP($BC178,typeIndexPair,2,FALSE)),"",VLOOKUP($BC178,typeIndexPair,2,FALSE))</f>
        <v>х1000</v>
      </c>
      <c r="BE178" s="283">
        <f t="shared" ca="1" si="834"/>
        <v>0</v>
      </c>
      <c r="BF178" s="347">
        <f t="array" aca="1" ref="BF178" ca="1">SUM($K178:$V178*$BK178:$BV178)*$AZ178</f>
        <v>0</v>
      </c>
      <c r="BG178" s="347">
        <f t="array" aca="1" ref="BG178" ca="1">SUM($K178:$V178*$BY178:$CJ178*$BK178:$BV178)*$AZ178*$BX178</f>
        <v>0</v>
      </c>
      <c r="BH178" s="347">
        <f t="array" aca="1" ref="BH178" ca="1">SUM($K178:$V178*$BY178:$CJ178*$BK178:$BV178)*(1-$BE178)*$AZ178*$BX178</f>
        <v>0</v>
      </c>
      <c r="BI178" s="350">
        <f t="shared" ref="BI178:BI205" ca="1" si="1045">SUM($K178:$V178)*$BB178</f>
        <v>0</v>
      </c>
      <c r="BJ178" s="275" t="str">
        <f t="shared" ref="BJ178:BJ205" ca="1" si="1046">IF(ISERROR(HLOOKUP(BJ$10,INDIRECT(LOWER($AN178)&amp;"Price"),$BW178,FALSE)),"Да",HLOOKUP(BJ$10,INDIRECT(LOWER($AN178)&amp;"Price"),$BW178,FALSE))</f>
        <v>Да</v>
      </c>
      <c r="BK178" s="116">
        <f t="shared" ref="BK178:BV192" ca="1" si="1047">IF($BJ178="Особ.",INDEX(INDIRECT(LOWER($AN178)&amp;"Season2"),BK$9),IF($BJ178="Да",INDEX(INDIRECT(LOWER($AN178)&amp;"Season"),BK$9),100%))</f>
        <v>0.8</v>
      </c>
      <c r="BL178" s="117">
        <f t="shared" ca="1" si="1047"/>
        <v>0.9</v>
      </c>
      <c r="BM178" s="117">
        <f t="shared" ca="1" si="1047"/>
        <v>1</v>
      </c>
      <c r="BN178" s="117">
        <f t="shared" ca="1" si="1047"/>
        <v>1</v>
      </c>
      <c r="BO178" s="117">
        <f t="shared" ca="1" si="1047"/>
        <v>1</v>
      </c>
      <c r="BP178" s="117">
        <f t="shared" ca="1" si="1047"/>
        <v>1</v>
      </c>
      <c r="BQ178" s="117">
        <f t="shared" ca="1" si="1047"/>
        <v>0.9</v>
      </c>
      <c r="BR178" s="117">
        <f t="shared" ca="1" si="1047"/>
        <v>0.9</v>
      </c>
      <c r="BS178" s="117">
        <f t="shared" ca="1" si="1047"/>
        <v>1.3</v>
      </c>
      <c r="BT178" s="117">
        <f t="shared" ca="1" si="1047"/>
        <v>1.3</v>
      </c>
      <c r="BU178" s="117">
        <f t="shared" ca="1" si="1047"/>
        <v>1.3</v>
      </c>
      <c r="BV178" s="278">
        <f t="shared" ca="1" si="1047"/>
        <v>1.3</v>
      </c>
      <c r="BW178" s="280">
        <f t="shared" si="835"/>
        <v>2</v>
      </c>
      <c r="BX178" s="118">
        <f>IF($AN178="Ya",100%,100%+extraDelayZ)</f>
        <v>1</v>
      </c>
      <c r="BY178" s="263">
        <f t="shared" ref="BY178:BY205" si="1048">(1+AA178)</f>
        <v>1</v>
      </c>
      <c r="BZ178" s="264">
        <f t="shared" ref="BZ178:BZ205" si="1049">(1+AB178)</f>
        <v>1</v>
      </c>
      <c r="CA178" s="264">
        <f t="shared" ref="CA178:CA205" si="1050">(1+AC178)</f>
        <v>1</v>
      </c>
      <c r="CB178" s="264">
        <f t="shared" ref="CB178:CB205" si="1051">(1+AD178)</f>
        <v>1</v>
      </c>
      <c r="CC178" s="264">
        <f t="shared" ref="CC178:CC205" si="1052">(1+AE178)</f>
        <v>1</v>
      </c>
      <c r="CD178" s="264">
        <f t="shared" ref="CD178:CD205" si="1053">(1+AF178)</f>
        <v>1</v>
      </c>
      <c r="CE178" s="264">
        <f t="shared" ref="CE178:CE205" si="1054">(1+AG178)</f>
        <v>1</v>
      </c>
      <c r="CF178" s="264">
        <f t="shared" ref="CF178:CF205" si="1055">(1+AH178)</f>
        <v>1</v>
      </c>
      <c r="CG178" s="264">
        <f t="shared" ref="CG178:CG205" si="1056">(1+AI178)</f>
        <v>1</v>
      </c>
      <c r="CH178" s="264">
        <f t="shared" ref="CH178:CH205" si="1057">(1+AJ178)</f>
        <v>1</v>
      </c>
      <c r="CI178" s="264">
        <f t="shared" ref="CI178:CI205" si="1058">(1+AK178)</f>
        <v>1</v>
      </c>
      <c r="CJ178" s="265">
        <f t="shared" ref="CJ178:CJ205" si="1059">(1+AL178)</f>
        <v>1</v>
      </c>
      <c r="CK178" s="269">
        <f t="array" ref="CK178">IF(ISERROR(SUM($K178:$V178*$BY178:$CJ178)/SUM($K178:$V178)),1,SUM($K178:$V178*$BY178:$CJ178)/SUM($K178:$V178))-1</f>
        <v>0</v>
      </c>
      <c r="CL178" s="234"/>
    </row>
    <row r="179" spans="1:90" ht="12.75" hidden="1" outlineLevel="1" x14ac:dyDescent="0.2">
      <c r="B179" s="404" t="str">
        <f t="shared" ca="1" si="1027"/>
        <v>Все страницы Ria.ru, 1000x90</v>
      </c>
      <c r="C179" s="649" t="str">
        <f t="shared" ca="1" si="1028"/>
        <v>х1000</v>
      </c>
      <c r="D179" s="405">
        <f t="shared" ca="1" si="1029"/>
        <v>350</v>
      </c>
      <c r="E179" s="405">
        <f t="shared" ca="1" si="1030"/>
        <v>350</v>
      </c>
      <c r="F179" s="405">
        <f t="shared" ca="1" si="1031"/>
        <v>350</v>
      </c>
      <c r="G179" s="406">
        <f t="shared" ca="1" si="1032"/>
        <v>350</v>
      </c>
      <c r="H179" s="406">
        <f t="shared" ca="1" si="1033"/>
        <v>350</v>
      </c>
      <c r="I179" s="406">
        <f t="shared" ca="1" si="1034"/>
        <v>0</v>
      </c>
      <c r="J179" s="407">
        <f t="shared" ca="1" si="1035"/>
        <v>0</v>
      </c>
      <c r="K179" s="408"/>
      <c r="L179" s="409"/>
      <c r="M179" s="409"/>
      <c r="N179" s="409"/>
      <c r="O179" s="409"/>
      <c r="P179" s="409"/>
      <c r="Q179" s="409"/>
      <c r="R179" s="409"/>
      <c r="S179" s="409"/>
      <c r="T179" s="409"/>
      <c r="U179" s="409"/>
      <c r="V179" s="410"/>
      <c r="W179" s="406">
        <f t="shared" ca="1" si="832"/>
        <v>0</v>
      </c>
      <c r="X179" s="406"/>
      <c r="Y179" s="411"/>
      <c r="Z179" s="412">
        <f t="shared" si="1036"/>
        <v>0</v>
      </c>
      <c r="AA179" s="413"/>
      <c r="AB179" s="413"/>
      <c r="AC179" s="413"/>
      <c r="AD179" s="413"/>
      <c r="AE179" s="413"/>
      <c r="AF179" s="413"/>
      <c r="AG179" s="413"/>
      <c r="AH179" s="413"/>
      <c r="AI179" s="413"/>
      <c r="AJ179" s="413"/>
      <c r="AK179" s="413"/>
      <c r="AL179" s="413"/>
      <c r="AM179" s="572"/>
      <c r="AN179" s="351" t="s">
        <v>129</v>
      </c>
      <c r="AO179" s="351" t="str">
        <f t="shared" si="833"/>
        <v>RIA.ru</v>
      </c>
      <c r="AP179" s="115">
        <f t="shared" si="883"/>
        <v>29</v>
      </c>
      <c r="AQ179" s="31">
        <f t="shared" ca="1" si="1037"/>
        <v>0.25</v>
      </c>
      <c r="AR179" s="31">
        <f t="shared" ca="1" si="1037"/>
        <v>0</v>
      </c>
      <c r="AS179" s="35">
        <v>0</v>
      </c>
      <c r="AT179" s="229">
        <v>0</v>
      </c>
      <c r="AU179" s="344">
        <f t="shared" ca="1" si="1038"/>
        <v>350</v>
      </c>
      <c r="AV179" s="345">
        <f t="shared" ca="1" si="1039"/>
        <v>350</v>
      </c>
      <c r="AW179" s="346">
        <f t="shared" ca="1" si="1040"/>
        <v>350</v>
      </c>
      <c r="AX179" s="280"/>
      <c r="AY179" s="280"/>
      <c r="AZ179" s="347">
        <f t="shared" ca="1" si="1041"/>
        <v>350</v>
      </c>
      <c r="BA179" s="348">
        <f t="shared" ca="1" si="1042"/>
        <v>350</v>
      </c>
      <c r="BB179" s="347">
        <f t="shared" ca="1" si="1043"/>
        <v>1</v>
      </c>
      <c r="BC179" s="37" t="str">
        <f t="shared" ca="1" si="1043"/>
        <v>1000 контактов</v>
      </c>
      <c r="BD179" s="229" t="str">
        <f t="shared" ca="1" si="1044"/>
        <v>х1000</v>
      </c>
      <c r="BE179" s="283">
        <f t="shared" ca="1" si="834"/>
        <v>0</v>
      </c>
      <c r="BF179" s="347">
        <f t="array" aca="1" ref="BF179" ca="1">SUM($K179:$V179*$BK179:$BV179)*$AZ179</f>
        <v>0</v>
      </c>
      <c r="BG179" s="347">
        <f t="array" aca="1" ref="BG179" ca="1">SUM($K179:$V179*$BY179:$CJ179*$BK179:$BV179)*$AZ179*$BX179</f>
        <v>0</v>
      </c>
      <c r="BH179" s="347">
        <f t="array" aca="1" ref="BH179" ca="1">SUM($K179:$V179*$BY179:$CJ179*$BK179:$BV179)*(1-$BE179)*$AZ179*$BX179</f>
        <v>0</v>
      </c>
      <c r="BI179" s="350">
        <f t="shared" ca="1" si="1045"/>
        <v>0</v>
      </c>
      <c r="BJ179" s="275" t="str">
        <f t="shared" ca="1" si="1046"/>
        <v>Да</v>
      </c>
      <c r="BK179" s="116">
        <f t="shared" ca="1" si="1047"/>
        <v>0.8</v>
      </c>
      <c r="BL179" s="117">
        <f t="shared" ca="1" si="1047"/>
        <v>0.9</v>
      </c>
      <c r="BM179" s="117">
        <f t="shared" ca="1" si="1047"/>
        <v>1</v>
      </c>
      <c r="BN179" s="117">
        <f t="shared" ca="1" si="1047"/>
        <v>1</v>
      </c>
      <c r="BO179" s="117">
        <f t="shared" ca="1" si="1047"/>
        <v>1</v>
      </c>
      <c r="BP179" s="117">
        <f t="shared" ca="1" si="1047"/>
        <v>1</v>
      </c>
      <c r="BQ179" s="117">
        <f t="shared" ca="1" si="1047"/>
        <v>0.9</v>
      </c>
      <c r="BR179" s="117">
        <f t="shared" ca="1" si="1047"/>
        <v>0.9</v>
      </c>
      <c r="BS179" s="117">
        <f t="shared" ca="1" si="1047"/>
        <v>1.3</v>
      </c>
      <c r="BT179" s="117">
        <f t="shared" ca="1" si="1047"/>
        <v>1.3</v>
      </c>
      <c r="BU179" s="117">
        <f t="shared" ca="1" si="1047"/>
        <v>1.3</v>
      </c>
      <c r="BV179" s="278">
        <f t="shared" ca="1" si="1047"/>
        <v>1.3</v>
      </c>
      <c r="BW179" s="280">
        <f t="shared" si="835"/>
        <v>3</v>
      </c>
      <c r="BX179" s="118">
        <f>IF($AN179="Ya",100%,100%+extraDelayZ)</f>
        <v>1</v>
      </c>
      <c r="BY179" s="263">
        <f t="shared" si="1048"/>
        <v>1</v>
      </c>
      <c r="BZ179" s="264">
        <f t="shared" si="1049"/>
        <v>1</v>
      </c>
      <c r="CA179" s="264">
        <f t="shared" si="1050"/>
        <v>1</v>
      </c>
      <c r="CB179" s="264">
        <f t="shared" si="1051"/>
        <v>1</v>
      </c>
      <c r="CC179" s="264">
        <f t="shared" si="1052"/>
        <v>1</v>
      </c>
      <c r="CD179" s="264">
        <f t="shared" si="1053"/>
        <v>1</v>
      </c>
      <c r="CE179" s="264">
        <f t="shared" si="1054"/>
        <v>1</v>
      </c>
      <c r="CF179" s="264">
        <f t="shared" si="1055"/>
        <v>1</v>
      </c>
      <c r="CG179" s="264">
        <f t="shared" si="1056"/>
        <v>1</v>
      </c>
      <c r="CH179" s="264">
        <f t="shared" si="1057"/>
        <v>1</v>
      </c>
      <c r="CI179" s="264">
        <f t="shared" si="1058"/>
        <v>1</v>
      </c>
      <c r="CJ179" s="265">
        <f t="shared" si="1059"/>
        <v>1</v>
      </c>
      <c r="CK179" s="269">
        <f t="array" ref="CK179">IF(ISERROR(SUM($K179:$V179*$BY179:$CJ179)/SUM($K179:$V179)),1,SUM($K179:$V179*$BY179:$CJ179)/SUM($K179:$V179))-1</f>
        <v>0</v>
      </c>
      <c r="CL179" s="234"/>
    </row>
    <row r="180" spans="1:90" ht="12.75" hidden="1" outlineLevel="1" x14ac:dyDescent="0.2">
      <c r="B180" s="404" t="str">
        <f t="shared" ca="1" si="1027"/>
        <v>Пакет "Охват 1500К", 240х400</v>
      </c>
      <c r="C180" s="649" t="str">
        <f t="shared" ca="1" si="1028"/>
        <v>Пакет</v>
      </c>
      <c r="D180" s="405">
        <f t="shared" ca="1" si="1029"/>
        <v>400</v>
      </c>
      <c r="E180" s="405">
        <f t="shared" ca="1" si="1030"/>
        <v>400</v>
      </c>
      <c r="F180" s="405">
        <f t="shared" ca="1" si="1031"/>
        <v>400</v>
      </c>
      <c r="G180" s="406">
        <f t="shared" ca="1" si="1032"/>
        <v>600000</v>
      </c>
      <c r="H180" s="406">
        <f t="shared" ca="1" si="1033"/>
        <v>600000</v>
      </c>
      <c r="I180" s="406">
        <f t="shared" ca="1" si="1034"/>
        <v>0</v>
      </c>
      <c r="J180" s="407">
        <f t="shared" ca="1" si="1035"/>
        <v>0</v>
      </c>
      <c r="K180" s="408"/>
      <c r="L180" s="409"/>
      <c r="M180" s="409"/>
      <c r="N180" s="409"/>
      <c r="O180" s="409"/>
      <c r="P180" s="409"/>
      <c r="Q180" s="409"/>
      <c r="R180" s="409"/>
      <c r="S180" s="409"/>
      <c r="T180" s="409"/>
      <c r="U180" s="409"/>
      <c r="V180" s="410"/>
      <c r="W180" s="406">
        <f t="shared" ca="1" si="832"/>
        <v>0</v>
      </c>
      <c r="X180" s="406"/>
      <c r="Y180" s="411"/>
      <c r="Z180" s="412">
        <f t="shared" si="1036"/>
        <v>0</v>
      </c>
      <c r="AA180" s="413"/>
      <c r="AB180" s="413"/>
      <c r="AC180" s="413"/>
      <c r="AD180" s="413"/>
      <c r="AE180" s="413"/>
      <c r="AF180" s="413"/>
      <c r="AG180" s="413"/>
      <c r="AH180" s="413"/>
      <c r="AI180" s="413"/>
      <c r="AJ180" s="413"/>
      <c r="AK180" s="413"/>
      <c r="AL180" s="413"/>
      <c r="AM180" s="572"/>
      <c r="AN180" s="351" t="s">
        <v>129</v>
      </c>
      <c r="AO180" s="351" t="str">
        <f t="shared" si="833"/>
        <v>RIA.ru</v>
      </c>
      <c r="AP180" s="115">
        <f t="shared" si="883"/>
        <v>29</v>
      </c>
      <c r="AQ180" s="31" t="str">
        <f t="shared" ca="1" si="1037"/>
        <v>-</v>
      </c>
      <c r="AR180" s="31" t="str">
        <f t="shared" ca="1" si="1037"/>
        <v>-</v>
      </c>
      <c r="AS180" s="35">
        <v>0</v>
      </c>
      <c r="AT180" s="229">
        <v>0</v>
      </c>
      <c r="AU180" s="344">
        <f t="shared" ca="1" si="1038"/>
        <v>400</v>
      </c>
      <c r="AV180" s="345">
        <f t="shared" ca="1" si="1039"/>
        <v>400</v>
      </c>
      <c r="AW180" s="346">
        <f t="shared" ca="1" si="1040"/>
        <v>400</v>
      </c>
      <c r="AX180" s="280"/>
      <c r="AY180" s="280"/>
      <c r="AZ180" s="347">
        <f t="shared" ca="1" si="1041"/>
        <v>600000</v>
      </c>
      <c r="BA180" s="348">
        <f t="shared" ca="1" si="1042"/>
        <v>600000</v>
      </c>
      <c r="BB180" s="347">
        <f t="shared" ca="1" si="1043"/>
        <v>1500</v>
      </c>
      <c r="BC180" s="37" t="str">
        <f t="shared" ca="1" si="1043"/>
        <v>Пакет</v>
      </c>
      <c r="BD180" s="229" t="str">
        <f t="shared" ca="1" si="1044"/>
        <v>Пакет</v>
      </c>
      <c r="BE180" s="283">
        <f t="shared" ca="1" si="834"/>
        <v>0</v>
      </c>
      <c r="BF180" s="347">
        <f t="array" aca="1" ref="BF180" ca="1">SUM($K180:$V180*$BK180:$BV180)*$AZ180</f>
        <v>0</v>
      </c>
      <c r="BG180" s="347">
        <f t="array" aca="1" ref="BG180" ca="1">SUM($K180:$V180*$BY180:$CJ180*$BK180:$BV180)*$AZ180*$BX180</f>
        <v>0</v>
      </c>
      <c r="BH180" s="347">
        <f t="array" aca="1" ref="BH180" ca="1">SUM($K180:$V180*$BY180:$CJ180*$BK180:$BV180)*(1-$BE180)*$AZ180*$BX180</f>
        <v>0</v>
      </c>
      <c r="BI180" s="350">
        <f t="shared" ca="1" si="1045"/>
        <v>0</v>
      </c>
      <c r="BJ180" s="275" t="str">
        <f t="shared" ca="1" si="1046"/>
        <v>Да</v>
      </c>
      <c r="BK180" s="116">
        <f t="shared" ca="1" si="1047"/>
        <v>0.8</v>
      </c>
      <c r="BL180" s="117">
        <f t="shared" ca="1" si="1047"/>
        <v>0.9</v>
      </c>
      <c r="BM180" s="117">
        <f t="shared" ca="1" si="1047"/>
        <v>1</v>
      </c>
      <c r="BN180" s="117">
        <f t="shared" ca="1" si="1047"/>
        <v>1</v>
      </c>
      <c r="BO180" s="117">
        <f t="shared" ca="1" si="1047"/>
        <v>1</v>
      </c>
      <c r="BP180" s="117">
        <f t="shared" ca="1" si="1047"/>
        <v>1</v>
      </c>
      <c r="BQ180" s="117">
        <f t="shared" ca="1" si="1047"/>
        <v>0.9</v>
      </c>
      <c r="BR180" s="117">
        <f t="shared" ca="1" si="1047"/>
        <v>0.9</v>
      </c>
      <c r="BS180" s="117">
        <f t="shared" ca="1" si="1047"/>
        <v>1.3</v>
      </c>
      <c r="BT180" s="117">
        <f t="shared" ca="1" si="1047"/>
        <v>1.3</v>
      </c>
      <c r="BU180" s="117">
        <f t="shared" ca="1" si="1047"/>
        <v>1.3</v>
      </c>
      <c r="BV180" s="278">
        <f t="shared" ca="1" si="1047"/>
        <v>1.3</v>
      </c>
      <c r="BW180" s="280">
        <f t="shared" si="835"/>
        <v>4</v>
      </c>
      <c r="BX180" s="118">
        <f>IF($AN180="Ya",100%,100%+extraDelayZ)</f>
        <v>1</v>
      </c>
      <c r="BY180" s="263">
        <f t="shared" si="1048"/>
        <v>1</v>
      </c>
      <c r="BZ180" s="264">
        <f t="shared" si="1049"/>
        <v>1</v>
      </c>
      <c r="CA180" s="264">
        <f t="shared" si="1050"/>
        <v>1</v>
      </c>
      <c r="CB180" s="264">
        <f t="shared" si="1051"/>
        <v>1</v>
      </c>
      <c r="CC180" s="264">
        <f t="shared" si="1052"/>
        <v>1</v>
      </c>
      <c r="CD180" s="264">
        <f t="shared" si="1053"/>
        <v>1</v>
      </c>
      <c r="CE180" s="264">
        <f t="shared" si="1054"/>
        <v>1</v>
      </c>
      <c r="CF180" s="264">
        <f t="shared" si="1055"/>
        <v>1</v>
      </c>
      <c r="CG180" s="264">
        <f t="shared" si="1056"/>
        <v>1</v>
      </c>
      <c r="CH180" s="264">
        <f t="shared" si="1057"/>
        <v>1</v>
      </c>
      <c r="CI180" s="264">
        <f t="shared" si="1058"/>
        <v>1</v>
      </c>
      <c r="CJ180" s="265">
        <f t="shared" si="1059"/>
        <v>1</v>
      </c>
      <c r="CK180" s="269">
        <f t="array" ref="CK180">IF(ISERROR(SUM($K180:$V180*$BY180:$CJ180)/SUM($K180:$V180)),1,SUM($K180:$V180*$BY180:$CJ180)/SUM($K180:$V180))-1</f>
        <v>0</v>
      </c>
      <c r="CL180" s="234"/>
    </row>
    <row r="181" spans="1:90" ht="12.75" hidden="1" outlineLevel="1" x14ac:dyDescent="0.2">
      <c r="B181" s="404" t="str">
        <f t="shared" ca="1" si="1027"/>
        <v>Пакет "Охват 1500К", 1000х90</v>
      </c>
      <c r="C181" s="649" t="str">
        <f t="shared" ca="1" si="1028"/>
        <v>Пакет</v>
      </c>
      <c r="D181" s="405">
        <f t="shared" ca="1" si="1029"/>
        <v>250</v>
      </c>
      <c r="E181" s="405">
        <f t="shared" ca="1" si="1030"/>
        <v>250</v>
      </c>
      <c r="F181" s="405">
        <f t="shared" ca="1" si="1031"/>
        <v>250</v>
      </c>
      <c r="G181" s="406">
        <f t="shared" ca="1" si="1032"/>
        <v>375000</v>
      </c>
      <c r="H181" s="406">
        <f t="shared" ca="1" si="1033"/>
        <v>375000</v>
      </c>
      <c r="I181" s="406">
        <f t="shared" ca="1" si="1034"/>
        <v>0</v>
      </c>
      <c r="J181" s="407">
        <f t="shared" ca="1" si="1035"/>
        <v>0</v>
      </c>
      <c r="K181" s="408"/>
      <c r="L181" s="409"/>
      <c r="M181" s="409"/>
      <c r="N181" s="409"/>
      <c r="O181" s="409"/>
      <c r="P181" s="409"/>
      <c r="Q181" s="409"/>
      <c r="R181" s="409"/>
      <c r="S181" s="409"/>
      <c r="T181" s="409"/>
      <c r="U181" s="409"/>
      <c r="V181" s="410"/>
      <c r="W181" s="406">
        <f t="shared" ca="1" si="832"/>
        <v>0</v>
      </c>
      <c r="X181" s="406"/>
      <c r="Y181" s="411"/>
      <c r="Z181" s="412">
        <f t="shared" si="1036"/>
        <v>0</v>
      </c>
      <c r="AA181" s="413"/>
      <c r="AB181" s="413"/>
      <c r="AC181" s="413"/>
      <c r="AD181" s="413"/>
      <c r="AE181" s="413"/>
      <c r="AF181" s="413"/>
      <c r="AG181" s="413"/>
      <c r="AH181" s="413"/>
      <c r="AI181" s="413"/>
      <c r="AJ181" s="413"/>
      <c r="AK181" s="413"/>
      <c r="AL181" s="413"/>
      <c r="AM181" s="572"/>
      <c r="AN181" s="351" t="s">
        <v>129</v>
      </c>
      <c r="AO181" s="351" t="str">
        <f t="shared" si="833"/>
        <v>RIA.ru</v>
      </c>
      <c r="AP181" s="115">
        <f t="shared" si="883"/>
        <v>29</v>
      </c>
      <c r="AQ181" s="31" t="str">
        <f t="shared" ca="1" si="1037"/>
        <v>-</v>
      </c>
      <c r="AR181" s="31" t="str">
        <f t="shared" ca="1" si="1037"/>
        <v>-</v>
      </c>
      <c r="AS181" s="35">
        <v>0</v>
      </c>
      <c r="AT181" s="229">
        <v>0</v>
      </c>
      <c r="AU181" s="344">
        <f t="shared" ca="1" si="1038"/>
        <v>250</v>
      </c>
      <c r="AV181" s="345">
        <f t="shared" ca="1" si="1039"/>
        <v>250</v>
      </c>
      <c r="AW181" s="346">
        <f t="shared" ca="1" si="1040"/>
        <v>250</v>
      </c>
      <c r="AX181" s="280"/>
      <c r="AY181" s="280"/>
      <c r="AZ181" s="347">
        <f t="shared" ca="1" si="1041"/>
        <v>375000</v>
      </c>
      <c r="BA181" s="348">
        <f t="shared" ca="1" si="1042"/>
        <v>375000</v>
      </c>
      <c r="BB181" s="347">
        <f t="shared" ca="1" si="1043"/>
        <v>1500</v>
      </c>
      <c r="BC181" s="37" t="str">
        <f t="shared" ca="1" si="1043"/>
        <v>Пакет</v>
      </c>
      <c r="BD181" s="229" t="str">
        <f t="shared" ca="1" si="1044"/>
        <v>Пакет</v>
      </c>
      <c r="BE181" s="283">
        <f t="shared" ca="1" si="834"/>
        <v>0</v>
      </c>
      <c r="BF181" s="347">
        <f t="array" aca="1" ref="BF181" ca="1">SUM($K181:$V181*$BK181:$BV181)*$AZ181</f>
        <v>0</v>
      </c>
      <c r="BG181" s="347">
        <f t="array" aca="1" ref="BG181" ca="1">SUM($K181:$V181*$BY181:$CJ181*$BK181:$BV181)*$AZ181*$BX181</f>
        <v>0</v>
      </c>
      <c r="BH181" s="347">
        <f t="array" aca="1" ref="BH181" ca="1">SUM($K181:$V181*$BY181:$CJ181*$BK181:$BV181)*(1-$BE181)*$AZ181*$BX181</f>
        <v>0</v>
      </c>
      <c r="BI181" s="350">
        <f t="shared" ca="1" si="1045"/>
        <v>0</v>
      </c>
      <c r="BJ181" s="275" t="str">
        <f t="shared" ca="1" si="1046"/>
        <v>Да</v>
      </c>
      <c r="BK181" s="116">
        <f t="shared" ca="1" si="1047"/>
        <v>0.8</v>
      </c>
      <c r="BL181" s="117">
        <f t="shared" ca="1" si="1047"/>
        <v>0.9</v>
      </c>
      <c r="BM181" s="117">
        <f t="shared" ca="1" si="1047"/>
        <v>1</v>
      </c>
      <c r="BN181" s="117">
        <f t="shared" ca="1" si="1047"/>
        <v>1</v>
      </c>
      <c r="BO181" s="117">
        <f t="shared" ca="1" si="1047"/>
        <v>1</v>
      </c>
      <c r="BP181" s="117">
        <f t="shared" ca="1" si="1047"/>
        <v>1</v>
      </c>
      <c r="BQ181" s="117">
        <f t="shared" ca="1" si="1047"/>
        <v>0.9</v>
      </c>
      <c r="BR181" s="117">
        <f t="shared" ca="1" si="1047"/>
        <v>0.9</v>
      </c>
      <c r="BS181" s="117">
        <f t="shared" ca="1" si="1047"/>
        <v>1.3</v>
      </c>
      <c r="BT181" s="117">
        <f t="shared" ca="1" si="1047"/>
        <v>1.3</v>
      </c>
      <c r="BU181" s="117">
        <f t="shared" ca="1" si="1047"/>
        <v>1.3</v>
      </c>
      <c r="BV181" s="278">
        <f t="shared" ca="1" si="1047"/>
        <v>1.3</v>
      </c>
      <c r="BW181" s="280">
        <f t="shared" si="835"/>
        <v>5</v>
      </c>
      <c r="BX181" s="118">
        <f>IF($AN181="Ya",100%,100%+extraDelayZ)</f>
        <v>1</v>
      </c>
      <c r="BY181" s="263">
        <f t="shared" si="1048"/>
        <v>1</v>
      </c>
      <c r="BZ181" s="264">
        <f t="shared" si="1049"/>
        <v>1</v>
      </c>
      <c r="CA181" s="264">
        <f t="shared" si="1050"/>
        <v>1</v>
      </c>
      <c r="CB181" s="264">
        <f t="shared" si="1051"/>
        <v>1</v>
      </c>
      <c r="CC181" s="264">
        <f t="shared" si="1052"/>
        <v>1</v>
      </c>
      <c r="CD181" s="264">
        <f t="shared" si="1053"/>
        <v>1</v>
      </c>
      <c r="CE181" s="264">
        <f t="shared" si="1054"/>
        <v>1</v>
      </c>
      <c r="CF181" s="264">
        <f t="shared" si="1055"/>
        <v>1</v>
      </c>
      <c r="CG181" s="264">
        <f t="shared" si="1056"/>
        <v>1</v>
      </c>
      <c r="CH181" s="264">
        <f t="shared" si="1057"/>
        <v>1</v>
      </c>
      <c r="CI181" s="264">
        <f t="shared" si="1058"/>
        <v>1</v>
      </c>
      <c r="CJ181" s="265">
        <f t="shared" si="1059"/>
        <v>1</v>
      </c>
      <c r="CK181" s="269">
        <f t="array" ref="CK181">IF(ISERROR(SUM($K181:$V181*$BY181:$CJ181)/SUM($K181:$V181)),1,SUM($K181:$V181*$BY181:$CJ181)/SUM($K181:$V181))-1</f>
        <v>0</v>
      </c>
      <c r="CL181" s="234"/>
    </row>
    <row r="182" spans="1:90" ht="12.75" hidden="1" outlineLevel="1" x14ac:dyDescent="0.2">
      <c r="B182" s="404" t="str">
        <f t="shared" ca="1" si="1027"/>
        <v>Пакет "Охват 3000К", 240х400</v>
      </c>
      <c r="C182" s="649" t="str">
        <f t="shared" ca="1" si="1028"/>
        <v>Пакет</v>
      </c>
      <c r="D182" s="405">
        <f t="shared" ca="1" si="1029"/>
        <v>300</v>
      </c>
      <c r="E182" s="405">
        <f t="shared" ca="1" si="1030"/>
        <v>300</v>
      </c>
      <c r="F182" s="405">
        <f t="shared" ca="1" si="1031"/>
        <v>300</v>
      </c>
      <c r="G182" s="406">
        <f t="shared" ca="1" si="1032"/>
        <v>900000</v>
      </c>
      <c r="H182" s="406">
        <f t="shared" ca="1" si="1033"/>
        <v>900000</v>
      </c>
      <c r="I182" s="406">
        <f t="shared" ca="1" si="1034"/>
        <v>0</v>
      </c>
      <c r="J182" s="407">
        <f t="shared" ca="1" si="1035"/>
        <v>0</v>
      </c>
      <c r="K182" s="408"/>
      <c r="L182" s="409"/>
      <c r="M182" s="409"/>
      <c r="N182" s="409"/>
      <c r="O182" s="409"/>
      <c r="P182" s="409"/>
      <c r="Q182" s="409"/>
      <c r="R182" s="409"/>
      <c r="S182" s="409"/>
      <c r="T182" s="409"/>
      <c r="U182" s="409"/>
      <c r="V182" s="410"/>
      <c r="W182" s="406">
        <f t="shared" ca="1" si="832"/>
        <v>0</v>
      </c>
      <c r="X182" s="406"/>
      <c r="Y182" s="411"/>
      <c r="Z182" s="412">
        <f t="shared" si="1036"/>
        <v>0</v>
      </c>
      <c r="AA182" s="413"/>
      <c r="AB182" s="413"/>
      <c r="AC182" s="413"/>
      <c r="AD182" s="413"/>
      <c r="AE182" s="413"/>
      <c r="AF182" s="413"/>
      <c r="AG182" s="413"/>
      <c r="AH182" s="413"/>
      <c r="AI182" s="413"/>
      <c r="AJ182" s="413"/>
      <c r="AK182" s="413"/>
      <c r="AL182" s="413"/>
      <c r="AM182" s="572"/>
      <c r="AN182" s="351" t="s">
        <v>129</v>
      </c>
      <c r="AO182" s="351" t="str">
        <f t="shared" si="833"/>
        <v>RIA.ru</v>
      </c>
      <c r="AP182" s="115">
        <f t="shared" si="883"/>
        <v>29</v>
      </c>
      <c r="AQ182" s="31" t="str">
        <f t="shared" ca="1" si="1037"/>
        <v>-</v>
      </c>
      <c r="AR182" s="31" t="str">
        <f t="shared" ca="1" si="1037"/>
        <v>-</v>
      </c>
      <c r="AS182" s="35">
        <v>0</v>
      </c>
      <c r="AT182" s="229">
        <v>0</v>
      </c>
      <c r="AU182" s="344">
        <f t="shared" ca="1" si="1038"/>
        <v>300</v>
      </c>
      <c r="AV182" s="345">
        <f t="shared" ca="1" si="1039"/>
        <v>300</v>
      </c>
      <c r="AW182" s="346">
        <f t="shared" ca="1" si="1040"/>
        <v>300</v>
      </c>
      <c r="AX182" s="280"/>
      <c r="AY182" s="280"/>
      <c r="AZ182" s="347">
        <f t="shared" ca="1" si="1041"/>
        <v>900000</v>
      </c>
      <c r="BA182" s="348">
        <f t="shared" ca="1" si="1042"/>
        <v>900000</v>
      </c>
      <c r="BB182" s="347">
        <f t="shared" ca="1" si="1043"/>
        <v>3000</v>
      </c>
      <c r="BC182" s="37" t="str">
        <f t="shared" ca="1" si="1043"/>
        <v>Пакет</v>
      </c>
      <c r="BD182" s="229" t="str">
        <f t="shared" ca="1" si="1044"/>
        <v>Пакет</v>
      </c>
      <c r="BE182" s="283">
        <f t="shared" ca="1" si="834"/>
        <v>0</v>
      </c>
      <c r="BF182" s="347">
        <f t="array" aca="1" ref="BF182" ca="1">SUM($K182:$V182*$BK182:$BV182)*$AZ182</f>
        <v>0</v>
      </c>
      <c r="BG182" s="347">
        <f t="array" aca="1" ref="BG182" ca="1">SUM($K182:$V182*$BY182:$CJ182*$BK182:$BV182)*$AZ182*$BX182</f>
        <v>0</v>
      </c>
      <c r="BH182" s="347">
        <f t="array" aca="1" ref="BH182" ca="1">SUM($K182:$V182*$BY182:$CJ182*$BK182:$BV182)*(1-$BE182)*$AZ182*$BX182</f>
        <v>0</v>
      </c>
      <c r="BI182" s="350">
        <f t="shared" ca="1" si="1045"/>
        <v>0</v>
      </c>
      <c r="BJ182" s="275" t="str">
        <f t="shared" ca="1" si="1046"/>
        <v>Да</v>
      </c>
      <c r="BK182" s="116">
        <f t="shared" ca="1" si="1047"/>
        <v>0.8</v>
      </c>
      <c r="BL182" s="117">
        <f t="shared" ca="1" si="1047"/>
        <v>0.9</v>
      </c>
      <c r="BM182" s="117">
        <f t="shared" ca="1" si="1047"/>
        <v>1</v>
      </c>
      <c r="BN182" s="117">
        <f t="shared" ca="1" si="1047"/>
        <v>1</v>
      </c>
      <c r="BO182" s="117">
        <f t="shared" ca="1" si="1047"/>
        <v>1</v>
      </c>
      <c r="BP182" s="117">
        <f t="shared" ca="1" si="1047"/>
        <v>1</v>
      </c>
      <c r="BQ182" s="117">
        <f t="shared" ca="1" si="1047"/>
        <v>0.9</v>
      </c>
      <c r="BR182" s="117">
        <f t="shared" ca="1" si="1047"/>
        <v>0.9</v>
      </c>
      <c r="BS182" s="117">
        <f t="shared" ca="1" si="1047"/>
        <v>1.3</v>
      </c>
      <c r="BT182" s="117">
        <f t="shared" ca="1" si="1047"/>
        <v>1.3</v>
      </c>
      <c r="BU182" s="117">
        <f t="shared" ca="1" si="1047"/>
        <v>1.3</v>
      </c>
      <c r="BV182" s="278">
        <f t="shared" ca="1" si="1047"/>
        <v>1.3</v>
      </c>
      <c r="BW182" s="280">
        <f t="shared" si="835"/>
        <v>6</v>
      </c>
      <c r="BX182" s="118">
        <f>IF($AN182="Ya",100%,100%+extraDelayZ)</f>
        <v>1</v>
      </c>
      <c r="BY182" s="263">
        <f t="shared" si="1048"/>
        <v>1</v>
      </c>
      <c r="BZ182" s="264">
        <f t="shared" si="1049"/>
        <v>1</v>
      </c>
      <c r="CA182" s="264">
        <f t="shared" si="1050"/>
        <v>1</v>
      </c>
      <c r="CB182" s="264">
        <f t="shared" si="1051"/>
        <v>1</v>
      </c>
      <c r="CC182" s="264">
        <f t="shared" si="1052"/>
        <v>1</v>
      </c>
      <c r="CD182" s="264">
        <f t="shared" si="1053"/>
        <v>1</v>
      </c>
      <c r="CE182" s="264">
        <f t="shared" si="1054"/>
        <v>1</v>
      </c>
      <c r="CF182" s="264">
        <f t="shared" si="1055"/>
        <v>1</v>
      </c>
      <c r="CG182" s="264">
        <f t="shared" si="1056"/>
        <v>1</v>
      </c>
      <c r="CH182" s="264">
        <f t="shared" si="1057"/>
        <v>1</v>
      </c>
      <c r="CI182" s="264">
        <f t="shared" si="1058"/>
        <v>1</v>
      </c>
      <c r="CJ182" s="265">
        <f t="shared" si="1059"/>
        <v>1</v>
      </c>
      <c r="CK182" s="269">
        <f t="array" ref="CK182">IF(ISERROR(SUM($K182:$V182*$BY182:$CJ182)/SUM($K182:$V182)),1,SUM($K182:$V182*$BY182:$CJ182)/SUM($K182:$V182))-1</f>
        <v>0</v>
      </c>
      <c r="CL182" s="234"/>
    </row>
    <row r="183" spans="1:90" ht="12.75" hidden="1" outlineLevel="1" x14ac:dyDescent="0.2">
      <c r="B183" s="404" t="str">
        <f t="shared" ca="1" si="1027"/>
        <v>Пакет "Охват 3000К", 1000х90</v>
      </c>
      <c r="C183" s="649" t="str">
        <f t="shared" ca="1" si="1028"/>
        <v>Пакет</v>
      </c>
      <c r="D183" s="405">
        <f t="shared" ca="1" si="1029"/>
        <v>200</v>
      </c>
      <c r="E183" s="405">
        <f t="shared" ca="1" si="1030"/>
        <v>200</v>
      </c>
      <c r="F183" s="405">
        <f t="shared" ca="1" si="1031"/>
        <v>200</v>
      </c>
      <c r="G183" s="406">
        <f t="shared" ca="1" si="1032"/>
        <v>600000</v>
      </c>
      <c r="H183" s="406">
        <f t="shared" ca="1" si="1033"/>
        <v>600000</v>
      </c>
      <c r="I183" s="406">
        <f t="shared" ca="1" si="1034"/>
        <v>0</v>
      </c>
      <c r="J183" s="407">
        <f t="shared" ca="1" si="1035"/>
        <v>0</v>
      </c>
      <c r="K183" s="408"/>
      <c r="L183" s="409"/>
      <c r="M183" s="409"/>
      <c r="N183" s="409"/>
      <c r="O183" s="409"/>
      <c r="P183" s="409"/>
      <c r="Q183" s="409"/>
      <c r="R183" s="409"/>
      <c r="S183" s="409"/>
      <c r="T183" s="409"/>
      <c r="U183" s="409"/>
      <c r="V183" s="410"/>
      <c r="W183" s="406">
        <f t="shared" ref="W183:W248" ca="1" si="1060">$BI183</f>
        <v>0</v>
      </c>
      <c r="X183" s="406"/>
      <c r="Y183" s="411"/>
      <c r="Z183" s="412">
        <f t="shared" si="1036"/>
        <v>0</v>
      </c>
      <c r="AA183" s="413"/>
      <c r="AB183" s="413"/>
      <c r="AC183" s="413"/>
      <c r="AD183" s="413"/>
      <c r="AE183" s="413"/>
      <c r="AF183" s="413"/>
      <c r="AG183" s="413"/>
      <c r="AH183" s="413"/>
      <c r="AI183" s="413"/>
      <c r="AJ183" s="413"/>
      <c r="AK183" s="413"/>
      <c r="AL183" s="413"/>
      <c r="AM183" s="572"/>
      <c r="AN183" s="351" t="s">
        <v>129</v>
      </c>
      <c r="AO183" s="351" t="str">
        <f t="shared" si="833"/>
        <v>RIA.ru</v>
      </c>
      <c r="AP183" s="115">
        <f t="shared" si="883"/>
        <v>29</v>
      </c>
      <c r="AQ183" s="31" t="str">
        <f t="shared" ca="1" si="1037"/>
        <v>-</v>
      </c>
      <c r="AR183" s="31" t="str">
        <f t="shared" ca="1" si="1037"/>
        <v>-</v>
      </c>
      <c r="AS183" s="35">
        <v>0</v>
      </c>
      <c r="AT183" s="229">
        <v>0</v>
      </c>
      <c r="AU183" s="344">
        <f t="shared" ca="1" si="1038"/>
        <v>200</v>
      </c>
      <c r="AV183" s="345">
        <f t="shared" ca="1" si="1039"/>
        <v>200</v>
      </c>
      <c r="AW183" s="346">
        <f t="shared" ca="1" si="1040"/>
        <v>200</v>
      </c>
      <c r="AX183" s="280"/>
      <c r="AY183" s="280"/>
      <c r="AZ183" s="347">
        <f t="shared" ca="1" si="1041"/>
        <v>600000</v>
      </c>
      <c r="BA183" s="348">
        <f t="shared" ca="1" si="1042"/>
        <v>600000</v>
      </c>
      <c r="BB183" s="347">
        <f t="shared" ca="1" si="1043"/>
        <v>3000</v>
      </c>
      <c r="BC183" s="37" t="str">
        <f t="shared" ca="1" si="1043"/>
        <v>Пакет</v>
      </c>
      <c r="BD183" s="229" t="str">
        <f t="shared" ca="1" si="1044"/>
        <v>Пакет</v>
      </c>
      <c r="BE183" s="283">
        <f t="shared" ca="1" si="834"/>
        <v>0</v>
      </c>
      <c r="BF183" s="347">
        <f t="array" aca="1" ref="BF183" ca="1">SUM($K183:$V183*$BK183:$BV183)*$AZ183</f>
        <v>0</v>
      </c>
      <c r="BG183" s="347">
        <f t="array" aca="1" ref="BG183" ca="1">SUM($K183:$V183*$BY183:$CJ183*$BK183:$BV183)*$AZ183*$BX183</f>
        <v>0</v>
      </c>
      <c r="BH183" s="347">
        <f t="array" aca="1" ref="BH183" ca="1">SUM($K183:$V183*$BY183:$CJ183*$BK183:$BV183)*(1-$BE183)*$AZ183*$BX183</f>
        <v>0</v>
      </c>
      <c r="BI183" s="350">
        <f t="shared" ca="1" si="1045"/>
        <v>0</v>
      </c>
      <c r="BJ183" s="275" t="str">
        <f t="shared" ca="1" si="1046"/>
        <v>Да</v>
      </c>
      <c r="BK183" s="116">
        <f t="shared" ca="1" si="1047"/>
        <v>0.8</v>
      </c>
      <c r="BL183" s="117">
        <f t="shared" ca="1" si="1047"/>
        <v>0.9</v>
      </c>
      <c r="BM183" s="117">
        <f t="shared" ca="1" si="1047"/>
        <v>1</v>
      </c>
      <c r="BN183" s="117">
        <f t="shared" ca="1" si="1047"/>
        <v>1</v>
      </c>
      <c r="BO183" s="117">
        <f t="shared" ca="1" si="1047"/>
        <v>1</v>
      </c>
      <c r="BP183" s="117">
        <f t="shared" ca="1" si="1047"/>
        <v>1</v>
      </c>
      <c r="BQ183" s="117">
        <f t="shared" ca="1" si="1047"/>
        <v>0.9</v>
      </c>
      <c r="BR183" s="117">
        <f t="shared" ca="1" si="1047"/>
        <v>0.9</v>
      </c>
      <c r="BS183" s="117">
        <f t="shared" ca="1" si="1047"/>
        <v>1.3</v>
      </c>
      <c r="BT183" s="117">
        <f t="shared" ca="1" si="1047"/>
        <v>1.3</v>
      </c>
      <c r="BU183" s="117">
        <f t="shared" ca="1" si="1047"/>
        <v>1.3</v>
      </c>
      <c r="BV183" s="278">
        <f t="shared" ca="1" si="1047"/>
        <v>1.3</v>
      </c>
      <c r="BW183" s="280">
        <f t="shared" si="835"/>
        <v>7</v>
      </c>
      <c r="BX183" s="118">
        <f>IF($AN183="Ya",100%,100%+extraDelayZ)</f>
        <v>1</v>
      </c>
      <c r="BY183" s="263">
        <f t="shared" si="1048"/>
        <v>1</v>
      </c>
      <c r="BZ183" s="264">
        <f t="shared" si="1049"/>
        <v>1</v>
      </c>
      <c r="CA183" s="264">
        <f t="shared" si="1050"/>
        <v>1</v>
      </c>
      <c r="CB183" s="264">
        <f t="shared" si="1051"/>
        <v>1</v>
      </c>
      <c r="CC183" s="264">
        <f t="shared" si="1052"/>
        <v>1</v>
      </c>
      <c r="CD183" s="264">
        <f t="shared" si="1053"/>
        <v>1</v>
      </c>
      <c r="CE183" s="264">
        <f t="shared" si="1054"/>
        <v>1</v>
      </c>
      <c r="CF183" s="264">
        <f t="shared" si="1055"/>
        <v>1</v>
      </c>
      <c r="CG183" s="264">
        <f t="shared" si="1056"/>
        <v>1</v>
      </c>
      <c r="CH183" s="264">
        <f t="shared" si="1057"/>
        <v>1</v>
      </c>
      <c r="CI183" s="264">
        <f t="shared" si="1058"/>
        <v>1</v>
      </c>
      <c r="CJ183" s="265">
        <f t="shared" si="1059"/>
        <v>1</v>
      </c>
      <c r="CK183" s="269">
        <f t="array" ref="CK183">IF(ISERROR(SUM($K183:$V183*$BY183:$CJ183)/SUM($K183:$V183)),1,SUM($K183:$V183*$BY183:$CJ183)/SUM($K183:$V183))-1</f>
        <v>0</v>
      </c>
      <c r="CL183" s="234"/>
    </row>
    <row r="184" spans="1:90" ht="12.75" hidden="1" outlineLevel="1" x14ac:dyDescent="0.2">
      <c r="B184" s="404" t="str">
        <f t="shared" ca="1" si="1027"/>
        <v>Пакет "Охват 5000К", 240х400</v>
      </c>
      <c r="C184" s="649" t="str">
        <f t="shared" ca="1" si="1028"/>
        <v>Пакет</v>
      </c>
      <c r="D184" s="405">
        <f t="shared" ca="1" si="1029"/>
        <v>250</v>
      </c>
      <c r="E184" s="405">
        <f t="shared" ca="1" si="1030"/>
        <v>250</v>
      </c>
      <c r="F184" s="405">
        <f t="shared" ca="1" si="1031"/>
        <v>250</v>
      </c>
      <c r="G184" s="406">
        <f t="shared" ca="1" si="1032"/>
        <v>1250000</v>
      </c>
      <c r="H184" s="406">
        <f t="shared" ca="1" si="1033"/>
        <v>1250000</v>
      </c>
      <c r="I184" s="406">
        <f t="shared" ca="1" si="1034"/>
        <v>0</v>
      </c>
      <c r="J184" s="407">
        <f t="shared" ca="1" si="1035"/>
        <v>0</v>
      </c>
      <c r="K184" s="408"/>
      <c r="L184" s="409"/>
      <c r="M184" s="409"/>
      <c r="N184" s="409"/>
      <c r="O184" s="409"/>
      <c r="P184" s="409"/>
      <c r="Q184" s="409"/>
      <c r="R184" s="409"/>
      <c r="S184" s="409"/>
      <c r="T184" s="409"/>
      <c r="U184" s="409"/>
      <c r="V184" s="410"/>
      <c r="W184" s="406">
        <f t="shared" ca="1" si="1060"/>
        <v>0</v>
      </c>
      <c r="X184" s="406"/>
      <c r="Y184" s="411"/>
      <c r="Z184" s="412">
        <f t="shared" si="1036"/>
        <v>0</v>
      </c>
      <c r="AA184" s="413"/>
      <c r="AB184" s="413"/>
      <c r="AC184" s="413"/>
      <c r="AD184" s="413"/>
      <c r="AE184" s="413"/>
      <c r="AF184" s="413"/>
      <c r="AG184" s="413"/>
      <c r="AH184" s="413"/>
      <c r="AI184" s="413"/>
      <c r="AJ184" s="413"/>
      <c r="AK184" s="413"/>
      <c r="AL184" s="413"/>
      <c r="AM184" s="572"/>
      <c r="AN184" s="351" t="s">
        <v>129</v>
      </c>
      <c r="AO184" s="351" t="str">
        <f t="shared" si="833"/>
        <v>RIA.ru</v>
      </c>
      <c r="AP184" s="115">
        <f t="shared" si="883"/>
        <v>29</v>
      </c>
      <c r="AQ184" s="31" t="str">
        <f t="shared" ca="1" si="1037"/>
        <v>-</v>
      </c>
      <c r="AR184" s="31" t="str">
        <f t="shared" ca="1" si="1037"/>
        <v>-</v>
      </c>
      <c r="AS184" s="35">
        <v>0</v>
      </c>
      <c r="AT184" s="229">
        <v>0</v>
      </c>
      <c r="AU184" s="344">
        <f t="shared" ca="1" si="1038"/>
        <v>250</v>
      </c>
      <c r="AV184" s="345">
        <f t="shared" ca="1" si="1039"/>
        <v>250</v>
      </c>
      <c r="AW184" s="346">
        <f t="shared" ca="1" si="1040"/>
        <v>250</v>
      </c>
      <c r="AX184" s="280"/>
      <c r="AY184" s="280"/>
      <c r="AZ184" s="347">
        <f t="shared" ca="1" si="1041"/>
        <v>1250000</v>
      </c>
      <c r="BA184" s="348">
        <f t="shared" ca="1" si="1042"/>
        <v>1250000</v>
      </c>
      <c r="BB184" s="347">
        <f t="shared" ca="1" si="1043"/>
        <v>5000</v>
      </c>
      <c r="BC184" s="37" t="str">
        <f t="shared" ca="1" si="1043"/>
        <v>Пакет</v>
      </c>
      <c r="BD184" s="229" t="str">
        <f t="shared" ca="1" si="1044"/>
        <v>Пакет</v>
      </c>
      <c r="BE184" s="283">
        <f t="shared" ca="1" si="834"/>
        <v>0</v>
      </c>
      <c r="BF184" s="347">
        <f t="array" aca="1" ref="BF184" ca="1">SUM($K184:$V184*$BK184:$BV184)*$AZ184</f>
        <v>0</v>
      </c>
      <c r="BG184" s="347">
        <f t="array" aca="1" ref="BG184" ca="1">SUM($K184:$V184*$BY184:$CJ184*$BK184:$BV184)*$AZ184*$BX184</f>
        <v>0</v>
      </c>
      <c r="BH184" s="347">
        <f t="array" aca="1" ref="BH184" ca="1">SUM($K184:$V184*$BY184:$CJ184*$BK184:$BV184)*(1-$BE184)*$AZ184*$BX184</f>
        <v>0</v>
      </c>
      <c r="BI184" s="350">
        <f t="shared" ca="1" si="1045"/>
        <v>0</v>
      </c>
      <c r="BJ184" s="275" t="str">
        <f t="shared" ca="1" si="1046"/>
        <v>Да</v>
      </c>
      <c r="BK184" s="116">
        <f t="shared" ca="1" si="1047"/>
        <v>0.8</v>
      </c>
      <c r="BL184" s="117">
        <f t="shared" ca="1" si="1047"/>
        <v>0.9</v>
      </c>
      <c r="BM184" s="117">
        <f t="shared" ca="1" si="1047"/>
        <v>1</v>
      </c>
      <c r="BN184" s="117">
        <f t="shared" ca="1" si="1047"/>
        <v>1</v>
      </c>
      <c r="BO184" s="117">
        <f t="shared" ca="1" si="1047"/>
        <v>1</v>
      </c>
      <c r="BP184" s="117">
        <f t="shared" ca="1" si="1047"/>
        <v>1</v>
      </c>
      <c r="BQ184" s="117">
        <f t="shared" ca="1" si="1047"/>
        <v>0.9</v>
      </c>
      <c r="BR184" s="117">
        <f t="shared" ca="1" si="1047"/>
        <v>0.9</v>
      </c>
      <c r="BS184" s="117">
        <f t="shared" ca="1" si="1047"/>
        <v>1.3</v>
      </c>
      <c r="BT184" s="117">
        <f t="shared" ca="1" si="1047"/>
        <v>1.3</v>
      </c>
      <c r="BU184" s="117">
        <f t="shared" ca="1" si="1047"/>
        <v>1.3</v>
      </c>
      <c r="BV184" s="278">
        <f t="shared" ca="1" si="1047"/>
        <v>1.3</v>
      </c>
      <c r="BW184" s="280">
        <f t="shared" si="835"/>
        <v>8</v>
      </c>
      <c r="BX184" s="118">
        <f>IF($AN184="Ya",100%,100%+extraDelayZ)</f>
        <v>1</v>
      </c>
      <c r="BY184" s="263">
        <f t="shared" si="1048"/>
        <v>1</v>
      </c>
      <c r="BZ184" s="264">
        <f t="shared" si="1049"/>
        <v>1</v>
      </c>
      <c r="CA184" s="264">
        <f t="shared" si="1050"/>
        <v>1</v>
      </c>
      <c r="CB184" s="264">
        <f t="shared" si="1051"/>
        <v>1</v>
      </c>
      <c r="CC184" s="264">
        <f t="shared" si="1052"/>
        <v>1</v>
      </c>
      <c r="CD184" s="264">
        <f t="shared" si="1053"/>
        <v>1</v>
      </c>
      <c r="CE184" s="264">
        <f t="shared" si="1054"/>
        <v>1</v>
      </c>
      <c r="CF184" s="264">
        <f t="shared" si="1055"/>
        <v>1</v>
      </c>
      <c r="CG184" s="264">
        <f t="shared" si="1056"/>
        <v>1</v>
      </c>
      <c r="CH184" s="264">
        <f t="shared" si="1057"/>
        <v>1</v>
      </c>
      <c r="CI184" s="264">
        <f t="shared" si="1058"/>
        <v>1</v>
      </c>
      <c r="CJ184" s="265">
        <f t="shared" si="1059"/>
        <v>1</v>
      </c>
      <c r="CK184" s="269">
        <f t="array" ref="CK184">IF(ISERROR(SUM($K184:$V184*$BY184:$CJ184)/SUM($K184:$V184)),1,SUM($K184:$V184*$BY184:$CJ184)/SUM($K184:$V184))-1</f>
        <v>0</v>
      </c>
      <c r="CL184" s="234"/>
    </row>
    <row r="185" spans="1:90" ht="12.75" hidden="1" outlineLevel="1" x14ac:dyDescent="0.2">
      <c r="B185" s="404" t="str">
        <f t="shared" ca="1" si="1027"/>
        <v>Пакет "Охват 5000К", 1000х90</v>
      </c>
      <c r="C185" s="649" t="str">
        <f t="shared" ca="1" si="1028"/>
        <v>Пакет</v>
      </c>
      <c r="D185" s="405">
        <f t="shared" ca="1" si="1029"/>
        <v>150</v>
      </c>
      <c r="E185" s="405">
        <f t="shared" ca="1" si="1030"/>
        <v>150</v>
      </c>
      <c r="F185" s="405">
        <f t="shared" ca="1" si="1031"/>
        <v>150</v>
      </c>
      <c r="G185" s="406">
        <f t="shared" ca="1" si="1032"/>
        <v>750000</v>
      </c>
      <c r="H185" s="406">
        <f t="shared" ca="1" si="1033"/>
        <v>750000</v>
      </c>
      <c r="I185" s="406">
        <f t="shared" ca="1" si="1034"/>
        <v>0</v>
      </c>
      <c r="J185" s="407">
        <f t="shared" ca="1" si="1035"/>
        <v>0</v>
      </c>
      <c r="K185" s="408"/>
      <c r="L185" s="409"/>
      <c r="M185" s="409"/>
      <c r="N185" s="409"/>
      <c r="O185" s="409"/>
      <c r="P185" s="409"/>
      <c r="Q185" s="409"/>
      <c r="R185" s="409"/>
      <c r="S185" s="409"/>
      <c r="T185" s="409"/>
      <c r="U185" s="409"/>
      <c r="V185" s="410"/>
      <c r="W185" s="406">
        <f t="shared" ca="1" si="1060"/>
        <v>0</v>
      </c>
      <c r="X185" s="406"/>
      <c r="Y185" s="411"/>
      <c r="Z185" s="412">
        <f t="shared" ref="Z185" si="1061">CK185</f>
        <v>0</v>
      </c>
      <c r="AA185" s="413"/>
      <c r="AB185" s="413"/>
      <c r="AC185" s="413"/>
      <c r="AD185" s="413"/>
      <c r="AE185" s="413"/>
      <c r="AF185" s="413"/>
      <c r="AG185" s="413"/>
      <c r="AH185" s="413"/>
      <c r="AI185" s="413"/>
      <c r="AJ185" s="413"/>
      <c r="AK185" s="413"/>
      <c r="AL185" s="413"/>
      <c r="AM185" s="572"/>
      <c r="AN185" s="351" t="s">
        <v>129</v>
      </c>
      <c r="AO185" s="351" t="str">
        <f t="shared" si="833"/>
        <v>RIA.ru</v>
      </c>
      <c r="AP185" s="115">
        <f t="shared" si="883"/>
        <v>29</v>
      </c>
      <c r="AQ185" s="31" t="str">
        <f t="shared" ca="1" si="1037"/>
        <v>-</v>
      </c>
      <c r="AR185" s="31" t="str">
        <f t="shared" ca="1" si="1037"/>
        <v>-</v>
      </c>
      <c r="AS185" s="35">
        <v>0</v>
      </c>
      <c r="AT185" s="229">
        <v>0</v>
      </c>
      <c r="AU185" s="344">
        <f t="shared" ca="1" si="1038"/>
        <v>150</v>
      </c>
      <c r="AV185" s="345">
        <f t="shared" ca="1" si="1039"/>
        <v>150</v>
      </c>
      <c r="AW185" s="346">
        <f t="shared" ca="1" si="1040"/>
        <v>150</v>
      </c>
      <c r="AX185" s="280"/>
      <c r="AY185" s="280"/>
      <c r="AZ185" s="347">
        <f t="shared" ca="1" si="1041"/>
        <v>750000</v>
      </c>
      <c r="BA185" s="348">
        <f t="shared" ca="1" si="1042"/>
        <v>750000</v>
      </c>
      <c r="BB185" s="347">
        <f t="shared" ca="1" si="1043"/>
        <v>5000</v>
      </c>
      <c r="BC185" s="37" t="str">
        <f t="shared" ca="1" si="1043"/>
        <v>Пакет</v>
      </c>
      <c r="BD185" s="229" t="str">
        <f t="shared" ca="1" si="1044"/>
        <v>Пакет</v>
      </c>
      <c r="BE185" s="283">
        <f t="shared" ca="1" si="834"/>
        <v>0</v>
      </c>
      <c r="BF185" s="347">
        <f t="array" aca="1" ref="BF185" ca="1">SUM($K185:$V185*$BK185:$BV185)*$AZ185</f>
        <v>0</v>
      </c>
      <c r="BG185" s="347">
        <f t="array" aca="1" ref="BG185" ca="1">SUM($K185:$V185*$BY185:$CJ185*$BK185:$BV185)*$AZ185*$BX185</f>
        <v>0</v>
      </c>
      <c r="BH185" s="347">
        <f t="array" aca="1" ref="BH185" ca="1">SUM($K185:$V185*$BY185:$CJ185*$BK185:$BV185)*(1-$BE185)*$AZ185*$BX185</f>
        <v>0</v>
      </c>
      <c r="BI185" s="350">
        <f t="shared" ca="1" si="1045"/>
        <v>0</v>
      </c>
      <c r="BJ185" s="275" t="str">
        <f t="shared" ca="1" si="1046"/>
        <v>Да</v>
      </c>
      <c r="BK185" s="116">
        <f t="shared" ca="1" si="1047"/>
        <v>0.8</v>
      </c>
      <c r="BL185" s="117">
        <f t="shared" ca="1" si="1047"/>
        <v>0.9</v>
      </c>
      <c r="BM185" s="117">
        <f t="shared" ca="1" si="1047"/>
        <v>1</v>
      </c>
      <c r="BN185" s="117">
        <f t="shared" ca="1" si="1047"/>
        <v>1</v>
      </c>
      <c r="BO185" s="117">
        <f t="shared" ca="1" si="1047"/>
        <v>1</v>
      </c>
      <c r="BP185" s="117">
        <f t="shared" ca="1" si="1047"/>
        <v>1</v>
      </c>
      <c r="BQ185" s="117">
        <f t="shared" ca="1" si="1047"/>
        <v>0.9</v>
      </c>
      <c r="BR185" s="117">
        <f t="shared" ca="1" si="1047"/>
        <v>0.9</v>
      </c>
      <c r="BS185" s="117">
        <f t="shared" ca="1" si="1047"/>
        <v>1.3</v>
      </c>
      <c r="BT185" s="117">
        <f t="shared" ca="1" si="1047"/>
        <v>1.3</v>
      </c>
      <c r="BU185" s="117">
        <f t="shared" ca="1" si="1047"/>
        <v>1.3</v>
      </c>
      <c r="BV185" s="278">
        <f t="shared" ca="1" si="1047"/>
        <v>1.3</v>
      </c>
      <c r="BW185" s="280">
        <f t="shared" si="835"/>
        <v>9</v>
      </c>
      <c r="BX185" s="118">
        <f>IF($AN185="Ya",100%,100%+extraDelayZ)</f>
        <v>1</v>
      </c>
      <c r="BY185" s="263">
        <f t="shared" ref="BY185" si="1062">(1+AA185)</f>
        <v>1</v>
      </c>
      <c r="BZ185" s="264">
        <f t="shared" ref="BZ185" si="1063">(1+AB185)</f>
        <v>1</v>
      </c>
      <c r="CA185" s="264">
        <f t="shared" ref="CA185" si="1064">(1+AC185)</f>
        <v>1</v>
      </c>
      <c r="CB185" s="264">
        <f t="shared" ref="CB185" si="1065">(1+AD185)</f>
        <v>1</v>
      </c>
      <c r="CC185" s="264">
        <f t="shared" ref="CC185" si="1066">(1+AE185)</f>
        <v>1</v>
      </c>
      <c r="CD185" s="264">
        <f t="shared" ref="CD185" si="1067">(1+AF185)</f>
        <v>1</v>
      </c>
      <c r="CE185" s="264">
        <f t="shared" ref="CE185" si="1068">(1+AG185)</f>
        <v>1</v>
      </c>
      <c r="CF185" s="264">
        <f t="shared" ref="CF185" si="1069">(1+AH185)</f>
        <v>1</v>
      </c>
      <c r="CG185" s="264">
        <f t="shared" ref="CG185" si="1070">(1+AI185)</f>
        <v>1</v>
      </c>
      <c r="CH185" s="264">
        <f t="shared" ref="CH185" si="1071">(1+AJ185)</f>
        <v>1</v>
      </c>
      <c r="CI185" s="264">
        <f t="shared" ref="CI185" si="1072">(1+AK185)</f>
        <v>1</v>
      </c>
      <c r="CJ185" s="265">
        <f t="shared" ref="CJ185" si="1073">(1+AL185)</f>
        <v>1</v>
      </c>
      <c r="CK185" s="269">
        <f t="array" ref="CK185">IF(ISERROR(SUM($K185:$V185*$BY185:$CJ185)/SUM($K185:$V185)),1,SUM($K185:$V185*$BY185:$CJ185)/SUM($K185:$V185))-1</f>
        <v>0</v>
      </c>
      <c r="CL185" s="234"/>
    </row>
    <row r="186" spans="1:90" ht="12.75" hidden="1" outlineLevel="1" x14ac:dyDescent="0.2">
      <c r="B186" s="404" t="str">
        <f t="shared" ca="1" si="1027"/>
        <v>Пакет "Москва", 240х400</v>
      </c>
      <c r="C186" s="649" t="str">
        <f t="shared" ca="1" si="1028"/>
        <v>Пакет</v>
      </c>
      <c r="D186" s="405">
        <f t="shared" ca="1" si="1029"/>
        <v>500</v>
      </c>
      <c r="E186" s="405">
        <f t="shared" ca="1" si="1030"/>
        <v>500</v>
      </c>
      <c r="F186" s="405">
        <f t="shared" ca="1" si="1031"/>
        <v>500</v>
      </c>
      <c r="G186" s="406">
        <f t="shared" ca="1" si="1032"/>
        <v>400000</v>
      </c>
      <c r="H186" s="406">
        <f t="shared" ca="1" si="1033"/>
        <v>400000</v>
      </c>
      <c r="I186" s="406">
        <f t="shared" ca="1" si="1034"/>
        <v>0</v>
      </c>
      <c r="J186" s="407">
        <f t="shared" ca="1" si="1035"/>
        <v>0</v>
      </c>
      <c r="K186" s="408"/>
      <c r="L186" s="409"/>
      <c r="M186" s="409"/>
      <c r="N186" s="409"/>
      <c r="O186" s="409"/>
      <c r="P186" s="409"/>
      <c r="Q186" s="409"/>
      <c r="R186" s="409"/>
      <c r="S186" s="409"/>
      <c r="T186" s="409"/>
      <c r="U186" s="409"/>
      <c r="V186" s="410"/>
      <c r="W186" s="406">
        <f t="shared" ca="1" si="1060"/>
        <v>0</v>
      </c>
      <c r="X186" s="406"/>
      <c r="Y186" s="411"/>
      <c r="Z186" s="412">
        <f t="shared" si="1036"/>
        <v>0</v>
      </c>
      <c r="AA186" s="413"/>
      <c r="AB186" s="413"/>
      <c r="AC186" s="413"/>
      <c r="AD186" s="413"/>
      <c r="AE186" s="413"/>
      <c r="AF186" s="413"/>
      <c r="AG186" s="413"/>
      <c r="AH186" s="413"/>
      <c r="AI186" s="413"/>
      <c r="AJ186" s="413"/>
      <c r="AK186" s="413"/>
      <c r="AL186" s="413"/>
      <c r="AM186" s="572"/>
      <c r="AN186" s="351" t="s">
        <v>129</v>
      </c>
      <c r="AO186" s="351" t="str">
        <f t="shared" ref="AO186:AO250" si="1074">INDEX(indSiteX,MATCH($AN186,indPrefixX,0))</f>
        <v>RIA.ru</v>
      </c>
      <c r="AP186" s="115">
        <f t="shared" si="883"/>
        <v>29</v>
      </c>
      <c r="AQ186" s="31" t="str">
        <f t="shared" ca="1" si="1037"/>
        <v>Вкл.</v>
      </c>
      <c r="AR186" s="31" t="str">
        <f t="shared" ca="1" si="1037"/>
        <v>-</v>
      </c>
      <c r="AS186" s="35">
        <v>0</v>
      </c>
      <c r="AT186" s="229">
        <v>0</v>
      </c>
      <c r="AU186" s="344">
        <f t="shared" ca="1" si="1038"/>
        <v>500</v>
      </c>
      <c r="AV186" s="345">
        <f t="shared" ca="1" si="1039"/>
        <v>500</v>
      </c>
      <c r="AW186" s="346">
        <f t="shared" ca="1" si="1040"/>
        <v>500</v>
      </c>
      <c r="AX186" s="280"/>
      <c r="AY186" s="280"/>
      <c r="AZ186" s="347">
        <f t="shared" ca="1" si="1041"/>
        <v>400000</v>
      </c>
      <c r="BA186" s="348">
        <f t="shared" ca="1" si="1042"/>
        <v>400000</v>
      </c>
      <c r="BB186" s="347">
        <f t="shared" ca="1" si="1043"/>
        <v>800</v>
      </c>
      <c r="BC186" s="37" t="str">
        <f t="shared" ca="1" si="1043"/>
        <v>Пакет</v>
      </c>
      <c r="BD186" s="229" t="str">
        <f t="shared" ca="1" si="1044"/>
        <v>Пакет</v>
      </c>
      <c r="BE186" s="283">
        <f t="shared" ref="BE186:BE250" ca="1" si="1075">INDEX(indDiscZX,MATCH($AN186,indPrefixX,0))</f>
        <v>0</v>
      </c>
      <c r="BF186" s="347">
        <f t="array" aca="1" ref="BF186" ca="1">SUM($K186:$V186*$BK186:$BV186)*$AZ186</f>
        <v>0</v>
      </c>
      <c r="BG186" s="347">
        <f t="array" aca="1" ref="BG186" ca="1">SUM($K186:$V186*$BY186:$CJ186*$BK186:$BV186)*$AZ186*$BX186</f>
        <v>0</v>
      </c>
      <c r="BH186" s="347">
        <f t="array" aca="1" ref="BH186" ca="1">SUM($K186:$V186*$BY186:$CJ186*$BK186:$BV186)*(1-$BE186)*$AZ186*$BX186</f>
        <v>0</v>
      </c>
      <c r="BI186" s="350">
        <f t="shared" ca="1" si="1045"/>
        <v>0</v>
      </c>
      <c r="BJ186" s="275" t="str">
        <f t="shared" ca="1" si="1046"/>
        <v>Да</v>
      </c>
      <c r="BK186" s="116">
        <f t="shared" ca="1" si="1047"/>
        <v>0.8</v>
      </c>
      <c r="BL186" s="117">
        <f t="shared" ca="1" si="1047"/>
        <v>0.9</v>
      </c>
      <c r="BM186" s="117">
        <f t="shared" ca="1" si="1047"/>
        <v>1</v>
      </c>
      <c r="BN186" s="117">
        <f t="shared" ca="1" si="1047"/>
        <v>1</v>
      </c>
      <c r="BO186" s="117">
        <f t="shared" ca="1" si="1047"/>
        <v>1</v>
      </c>
      <c r="BP186" s="117">
        <f t="shared" ca="1" si="1047"/>
        <v>1</v>
      </c>
      <c r="BQ186" s="117">
        <f t="shared" ca="1" si="1047"/>
        <v>0.9</v>
      </c>
      <c r="BR186" s="117">
        <f t="shared" ca="1" si="1047"/>
        <v>0.9</v>
      </c>
      <c r="BS186" s="117">
        <f t="shared" ca="1" si="1047"/>
        <v>1.3</v>
      </c>
      <c r="BT186" s="117">
        <f t="shared" ca="1" si="1047"/>
        <v>1.3</v>
      </c>
      <c r="BU186" s="117">
        <f t="shared" ca="1" si="1047"/>
        <v>1.3</v>
      </c>
      <c r="BV186" s="278">
        <f t="shared" ca="1" si="1047"/>
        <v>1.3</v>
      </c>
      <c r="BW186" s="280">
        <f t="shared" ref="BW186:BW250" si="1076">ROW()-MATCH($AO186,resList,0)+1</f>
        <v>10</v>
      </c>
      <c r="BX186" s="118">
        <f>IF($AN186="Ya",100%,100%+extraDelayZ)</f>
        <v>1</v>
      </c>
      <c r="BY186" s="263">
        <f t="shared" si="1048"/>
        <v>1</v>
      </c>
      <c r="BZ186" s="264">
        <f t="shared" si="1049"/>
        <v>1</v>
      </c>
      <c r="CA186" s="264">
        <f t="shared" si="1050"/>
        <v>1</v>
      </c>
      <c r="CB186" s="264">
        <f t="shared" si="1051"/>
        <v>1</v>
      </c>
      <c r="CC186" s="264">
        <f t="shared" si="1052"/>
        <v>1</v>
      </c>
      <c r="CD186" s="264">
        <f t="shared" si="1053"/>
        <v>1</v>
      </c>
      <c r="CE186" s="264">
        <f t="shared" si="1054"/>
        <v>1</v>
      </c>
      <c r="CF186" s="264">
        <f t="shared" si="1055"/>
        <v>1</v>
      </c>
      <c r="CG186" s="264">
        <f t="shared" si="1056"/>
        <v>1</v>
      </c>
      <c r="CH186" s="264">
        <f t="shared" si="1057"/>
        <v>1</v>
      </c>
      <c r="CI186" s="264">
        <f t="shared" si="1058"/>
        <v>1</v>
      </c>
      <c r="CJ186" s="265">
        <f t="shared" si="1059"/>
        <v>1</v>
      </c>
      <c r="CK186" s="269">
        <f t="array" ref="CK186">IF(ISERROR(SUM($K186:$V186*$BY186:$CJ186)/SUM($K186:$V186)),1,SUM($K186:$V186*$BY186:$CJ186)/SUM($K186:$V186))-1</f>
        <v>0</v>
      </c>
      <c r="CL186" s="234"/>
    </row>
    <row r="187" spans="1:90" ht="12.75" hidden="1" outlineLevel="1" x14ac:dyDescent="0.2">
      <c r="B187" s="404" t="str">
        <f t="shared" ca="1" si="1027"/>
        <v>Пакет "Москва", 1000х90</v>
      </c>
      <c r="C187" s="649" t="str">
        <f t="shared" ca="1" si="1028"/>
        <v>Пакет</v>
      </c>
      <c r="D187" s="405">
        <f t="shared" ca="1" si="1029"/>
        <v>300</v>
      </c>
      <c r="E187" s="405">
        <f t="shared" ca="1" si="1030"/>
        <v>300</v>
      </c>
      <c r="F187" s="405">
        <f t="shared" ca="1" si="1031"/>
        <v>300</v>
      </c>
      <c r="G187" s="406">
        <f t="shared" ca="1" si="1032"/>
        <v>240000</v>
      </c>
      <c r="H187" s="406">
        <f t="shared" ca="1" si="1033"/>
        <v>240000</v>
      </c>
      <c r="I187" s="406">
        <f t="shared" ca="1" si="1034"/>
        <v>0</v>
      </c>
      <c r="J187" s="407">
        <f t="shared" ca="1" si="1035"/>
        <v>0</v>
      </c>
      <c r="K187" s="408"/>
      <c r="L187" s="409"/>
      <c r="M187" s="409"/>
      <c r="N187" s="409"/>
      <c r="O187" s="409"/>
      <c r="P187" s="409"/>
      <c r="Q187" s="409"/>
      <c r="R187" s="409"/>
      <c r="S187" s="409"/>
      <c r="T187" s="409"/>
      <c r="U187" s="409"/>
      <c r="V187" s="410"/>
      <c r="W187" s="406">
        <f t="shared" ca="1" si="1060"/>
        <v>0</v>
      </c>
      <c r="X187" s="406"/>
      <c r="Y187" s="411"/>
      <c r="Z187" s="412">
        <f t="shared" ref="Z187" si="1077">CK187</f>
        <v>0</v>
      </c>
      <c r="AA187" s="413"/>
      <c r="AB187" s="413"/>
      <c r="AC187" s="413"/>
      <c r="AD187" s="413"/>
      <c r="AE187" s="413"/>
      <c r="AF187" s="413"/>
      <c r="AG187" s="413"/>
      <c r="AH187" s="413"/>
      <c r="AI187" s="413"/>
      <c r="AJ187" s="413"/>
      <c r="AK187" s="413"/>
      <c r="AL187" s="413"/>
      <c r="AM187" s="572"/>
      <c r="AN187" s="351" t="s">
        <v>129</v>
      </c>
      <c r="AO187" s="351" t="str">
        <f t="shared" si="1074"/>
        <v>RIA.ru</v>
      </c>
      <c r="AP187" s="115">
        <f t="shared" si="883"/>
        <v>29</v>
      </c>
      <c r="AQ187" s="31" t="str">
        <f t="shared" ca="1" si="1037"/>
        <v>Вкл.</v>
      </c>
      <c r="AR187" s="31" t="str">
        <f t="shared" ca="1" si="1037"/>
        <v>-</v>
      </c>
      <c r="AS187" s="35">
        <v>0</v>
      </c>
      <c r="AT187" s="229">
        <v>0</v>
      </c>
      <c r="AU187" s="344">
        <f t="shared" ca="1" si="1038"/>
        <v>300</v>
      </c>
      <c r="AV187" s="345">
        <f t="shared" ca="1" si="1039"/>
        <v>300</v>
      </c>
      <c r="AW187" s="346">
        <f t="shared" ca="1" si="1040"/>
        <v>300</v>
      </c>
      <c r="AX187" s="280"/>
      <c r="AY187" s="280"/>
      <c r="AZ187" s="347">
        <f t="shared" ca="1" si="1041"/>
        <v>240000</v>
      </c>
      <c r="BA187" s="348">
        <f t="shared" ca="1" si="1042"/>
        <v>240000</v>
      </c>
      <c r="BB187" s="347">
        <f t="shared" ca="1" si="1043"/>
        <v>800</v>
      </c>
      <c r="BC187" s="37" t="str">
        <f t="shared" ca="1" si="1043"/>
        <v>Пакет</v>
      </c>
      <c r="BD187" s="229" t="str">
        <f t="shared" ca="1" si="1044"/>
        <v>Пакет</v>
      </c>
      <c r="BE187" s="283">
        <f t="shared" ca="1" si="1075"/>
        <v>0</v>
      </c>
      <c r="BF187" s="347">
        <f t="array" aca="1" ref="BF187" ca="1">SUM($K187:$V187*$BK187:$BV187)*$AZ187</f>
        <v>0</v>
      </c>
      <c r="BG187" s="347">
        <f t="array" aca="1" ref="BG187" ca="1">SUM($K187:$V187*$BY187:$CJ187*$BK187:$BV187)*$AZ187*$BX187</f>
        <v>0</v>
      </c>
      <c r="BH187" s="347">
        <f t="array" aca="1" ref="BH187" ca="1">SUM($K187:$V187*$BY187:$CJ187*$BK187:$BV187)*(1-$BE187)*$AZ187*$BX187</f>
        <v>0</v>
      </c>
      <c r="BI187" s="350">
        <f t="shared" ca="1" si="1045"/>
        <v>0</v>
      </c>
      <c r="BJ187" s="275" t="str">
        <f t="shared" ca="1" si="1046"/>
        <v>Да</v>
      </c>
      <c r="BK187" s="116">
        <f t="shared" ca="1" si="1047"/>
        <v>0.8</v>
      </c>
      <c r="BL187" s="117">
        <f t="shared" ca="1" si="1047"/>
        <v>0.9</v>
      </c>
      <c r="BM187" s="117">
        <f t="shared" ca="1" si="1047"/>
        <v>1</v>
      </c>
      <c r="BN187" s="117">
        <f t="shared" ca="1" si="1047"/>
        <v>1</v>
      </c>
      <c r="BO187" s="117">
        <f t="shared" ca="1" si="1047"/>
        <v>1</v>
      </c>
      <c r="BP187" s="117">
        <f t="shared" ca="1" si="1047"/>
        <v>1</v>
      </c>
      <c r="BQ187" s="117">
        <f t="shared" ca="1" si="1047"/>
        <v>0.9</v>
      </c>
      <c r="BR187" s="117">
        <f t="shared" ca="1" si="1047"/>
        <v>0.9</v>
      </c>
      <c r="BS187" s="117">
        <f t="shared" ca="1" si="1047"/>
        <v>1.3</v>
      </c>
      <c r="BT187" s="117">
        <f t="shared" ca="1" si="1047"/>
        <v>1.3</v>
      </c>
      <c r="BU187" s="117">
        <f t="shared" ca="1" si="1047"/>
        <v>1.3</v>
      </c>
      <c r="BV187" s="278">
        <f t="shared" ca="1" si="1047"/>
        <v>1.3</v>
      </c>
      <c r="BW187" s="280">
        <f t="shared" si="1076"/>
        <v>11</v>
      </c>
      <c r="BX187" s="118">
        <f>IF($AN187="Ya",100%,100%+extraDelayZ)</f>
        <v>1</v>
      </c>
      <c r="BY187" s="263">
        <f t="shared" ref="BY187" si="1078">(1+AA187)</f>
        <v>1</v>
      </c>
      <c r="BZ187" s="264">
        <f t="shared" ref="BZ187" si="1079">(1+AB187)</f>
        <v>1</v>
      </c>
      <c r="CA187" s="264">
        <f t="shared" ref="CA187" si="1080">(1+AC187)</f>
        <v>1</v>
      </c>
      <c r="CB187" s="264">
        <f t="shared" ref="CB187" si="1081">(1+AD187)</f>
        <v>1</v>
      </c>
      <c r="CC187" s="264">
        <f t="shared" ref="CC187" si="1082">(1+AE187)</f>
        <v>1</v>
      </c>
      <c r="CD187" s="264">
        <f t="shared" ref="CD187" si="1083">(1+AF187)</f>
        <v>1</v>
      </c>
      <c r="CE187" s="264">
        <f t="shared" ref="CE187" si="1084">(1+AG187)</f>
        <v>1</v>
      </c>
      <c r="CF187" s="264">
        <f t="shared" ref="CF187" si="1085">(1+AH187)</f>
        <v>1</v>
      </c>
      <c r="CG187" s="264">
        <f t="shared" ref="CG187" si="1086">(1+AI187)</f>
        <v>1</v>
      </c>
      <c r="CH187" s="264">
        <f t="shared" ref="CH187" si="1087">(1+AJ187)</f>
        <v>1</v>
      </c>
      <c r="CI187" s="264">
        <f t="shared" ref="CI187" si="1088">(1+AK187)</f>
        <v>1</v>
      </c>
      <c r="CJ187" s="265">
        <f t="shared" ref="CJ187" si="1089">(1+AL187)</f>
        <v>1</v>
      </c>
      <c r="CK187" s="269">
        <f t="array" ref="CK187">IF(ISERROR(SUM($K187:$V187*$BY187:$CJ187)/SUM($K187:$V187)),1,SUM($K187:$V187*$BY187:$CJ187)/SUM($K187:$V187))-1</f>
        <v>0</v>
      </c>
      <c r="CL187" s="234"/>
    </row>
    <row r="188" spans="1:90" ht="12.75" hidden="1" outlineLevel="1" x14ac:dyDescent="0.2">
      <c r="B188" s="404" t="str">
        <f t="shared" ca="1" si="1027"/>
        <v>Пакет "Питер", 240х400</v>
      </c>
      <c r="C188" s="649" t="str">
        <f t="shared" ca="1" si="1028"/>
        <v>Пакет</v>
      </c>
      <c r="D188" s="405">
        <f t="shared" ca="1" si="1029"/>
        <v>500</v>
      </c>
      <c r="E188" s="405">
        <f t="shared" ca="1" si="1030"/>
        <v>500</v>
      </c>
      <c r="F188" s="405">
        <f t="shared" ca="1" si="1031"/>
        <v>500</v>
      </c>
      <c r="G188" s="406">
        <f t="shared" ca="1" si="1032"/>
        <v>150000</v>
      </c>
      <c r="H188" s="406">
        <f t="shared" ca="1" si="1033"/>
        <v>150000</v>
      </c>
      <c r="I188" s="406">
        <f t="shared" ca="1" si="1034"/>
        <v>0</v>
      </c>
      <c r="J188" s="407">
        <f t="shared" ca="1" si="1035"/>
        <v>0</v>
      </c>
      <c r="K188" s="408"/>
      <c r="L188" s="409"/>
      <c r="M188" s="409"/>
      <c r="N188" s="409"/>
      <c r="O188" s="409"/>
      <c r="P188" s="409"/>
      <c r="Q188" s="409"/>
      <c r="R188" s="409"/>
      <c r="S188" s="409"/>
      <c r="T188" s="409"/>
      <c r="U188" s="409"/>
      <c r="V188" s="410"/>
      <c r="W188" s="406">
        <f t="shared" ca="1" si="1060"/>
        <v>0</v>
      </c>
      <c r="X188" s="406"/>
      <c r="Y188" s="411"/>
      <c r="Z188" s="412">
        <f t="shared" ref="Z188" si="1090">CK188</f>
        <v>0</v>
      </c>
      <c r="AA188" s="413"/>
      <c r="AB188" s="413"/>
      <c r="AC188" s="413"/>
      <c r="AD188" s="413"/>
      <c r="AE188" s="413"/>
      <c r="AF188" s="413"/>
      <c r="AG188" s="413"/>
      <c r="AH188" s="413"/>
      <c r="AI188" s="413"/>
      <c r="AJ188" s="413"/>
      <c r="AK188" s="413"/>
      <c r="AL188" s="413"/>
      <c r="AM188" s="572"/>
      <c r="AN188" s="351" t="s">
        <v>129</v>
      </c>
      <c r="AO188" s="351" t="str">
        <f t="shared" si="1074"/>
        <v>RIA.ru</v>
      </c>
      <c r="AP188" s="115">
        <f t="shared" si="883"/>
        <v>29</v>
      </c>
      <c r="AQ188" s="31" t="str">
        <f t="shared" ca="1" si="1037"/>
        <v>Вкл.</v>
      </c>
      <c r="AR188" s="31" t="str">
        <f t="shared" ca="1" si="1037"/>
        <v>-</v>
      </c>
      <c r="AS188" s="35">
        <v>0</v>
      </c>
      <c r="AT188" s="229">
        <v>0</v>
      </c>
      <c r="AU188" s="344">
        <f t="shared" ca="1" si="1038"/>
        <v>500</v>
      </c>
      <c r="AV188" s="345">
        <f t="shared" ca="1" si="1039"/>
        <v>500</v>
      </c>
      <c r="AW188" s="346">
        <f t="shared" ca="1" si="1040"/>
        <v>500</v>
      </c>
      <c r="AX188" s="280"/>
      <c r="AY188" s="280"/>
      <c r="AZ188" s="347">
        <f t="shared" ca="1" si="1041"/>
        <v>150000</v>
      </c>
      <c r="BA188" s="348">
        <f t="shared" ca="1" si="1042"/>
        <v>150000</v>
      </c>
      <c r="BB188" s="347">
        <f t="shared" ca="1" si="1043"/>
        <v>300</v>
      </c>
      <c r="BC188" s="37" t="str">
        <f t="shared" ca="1" si="1043"/>
        <v>Пакет</v>
      </c>
      <c r="BD188" s="229" t="str">
        <f t="shared" ca="1" si="1044"/>
        <v>Пакет</v>
      </c>
      <c r="BE188" s="283">
        <f t="shared" ca="1" si="1075"/>
        <v>0</v>
      </c>
      <c r="BF188" s="347">
        <f t="array" aca="1" ref="BF188" ca="1">SUM($K188:$V188*$BK188:$BV188)*$AZ188</f>
        <v>0</v>
      </c>
      <c r="BG188" s="347">
        <f t="array" aca="1" ref="BG188" ca="1">SUM($K188:$V188*$BY188:$CJ188*$BK188:$BV188)*$AZ188*$BX188</f>
        <v>0</v>
      </c>
      <c r="BH188" s="347">
        <f t="array" aca="1" ref="BH188" ca="1">SUM($K188:$V188*$BY188:$CJ188*$BK188:$BV188)*(1-$BE188)*$AZ188*$BX188</f>
        <v>0</v>
      </c>
      <c r="BI188" s="350">
        <f t="shared" ca="1" si="1045"/>
        <v>0</v>
      </c>
      <c r="BJ188" s="275" t="str">
        <f t="shared" ca="1" si="1046"/>
        <v>Да</v>
      </c>
      <c r="BK188" s="116">
        <f t="shared" ca="1" si="1047"/>
        <v>0.8</v>
      </c>
      <c r="BL188" s="117">
        <f t="shared" ca="1" si="1047"/>
        <v>0.9</v>
      </c>
      <c r="BM188" s="117">
        <f t="shared" ca="1" si="1047"/>
        <v>1</v>
      </c>
      <c r="BN188" s="117">
        <f t="shared" ca="1" si="1047"/>
        <v>1</v>
      </c>
      <c r="BO188" s="117">
        <f t="shared" ca="1" si="1047"/>
        <v>1</v>
      </c>
      <c r="BP188" s="117">
        <f t="shared" ca="1" si="1047"/>
        <v>1</v>
      </c>
      <c r="BQ188" s="117">
        <f t="shared" ca="1" si="1047"/>
        <v>0.9</v>
      </c>
      <c r="BR188" s="117">
        <f t="shared" ca="1" si="1047"/>
        <v>0.9</v>
      </c>
      <c r="BS188" s="117">
        <f t="shared" ca="1" si="1047"/>
        <v>1.3</v>
      </c>
      <c r="BT188" s="117">
        <f t="shared" ca="1" si="1047"/>
        <v>1.3</v>
      </c>
      <c r="BU188" s="117">
        <f t="shared" ca="1" si="1047"/>
        <v>1.3</v>
      </c>
      <c r="BV188" s="278">
        <f t="shared" ca="1" si="1047"/>
        <v>1.3</v>
      </c>
      <c r="BW188" s="280">
        <f t="shared" si="1076"/>
        <v>12</v>
      </c>
      <c r="BX188" s="118">
        <f>IF($AN188="Ya",100%,100%+extraDelayZ)</f>
        <v>1</v>
      </c>
      <c r="BY188" s="263">
        <f t="shared" ref="BY188" si="1091">(1+AA188)</f>
        <v>1</v>
      </c>
      <c r="BZ188" s="264">
        <f t="shared" ref="BZ188" si="1092">(1+AB188)</f>
        <v>1</v>
      </c>
      <c r="CA188" s="264">
        <f t="shared" ref="CA188" si="1093">(1+AC188)</f>
        <v>1</v>
      </c>
      <c r="CB188" s="264">
        <f t="shared" ref="CB188" si="1094">(1+AD188)</f>
        <v>1</v>
      </c>
      <c r="CC188" s="264">
        <f t="shared" ref="CC188" si="1095">(1+AE188)</f>
        <v>1</v>
      </c>
      <c r="CD188" s="264">
        <f t="shared" ref="CD188" si="1096">(1+AF188)</f>
        <v>1</v>
      </c>
      <c r="CE188" s="264">
        <f t="shared" ref="CE188" si="1097">(1+AG188)</f>
        <v>1</v>
      </c>
      <c r="CF188" s="264">
        <f t="shared" ref="CF188" si="1098">(1+AH188)</f>
        <v>1</v>
      </c>
      <c r="CG188" s="264">
        <f t="shared" ref="CG188" si="1099">(1+AI188)</f>
        <v>1</v>
      </c>
      <c r="CH188" s="264">
        <f t="shared" ref="CH188" si="1100">(1+AJ188)</f>
        <v>1</v>
      </c>
      <c r="CI188" s="264">
        <f t="shared" ref="CI188" si="1101">(1+AK188)</f>
        <v>1</v>
      </c>
      <c r="CJ188" s="265">
        <f t="shared" ref="CJ188" si="1102">(1+AL188)</f>
        <v>1</v>
      </c>
      <c r="CK188" s="269">
        <f t="array" ref="CK188">IF(ISERROR(SUM($K188:$V188*$BY188:$CJ188)/SUM($K188:$V188)),1,SUM($K188:$V188*$BY188:$CJ188)/SUM($K188:$V188))-1</f>
        <v>0</v>
      </c>
      <c r="CL188" s="234"/>
    </row>
    <row r="189" spans="1:90" ht="12.75" hidden="1" outlineLevel="1" x14ac:dyDescent="0.2">
      <c r="B189" s="404" t="str">
        <f t="shared" ca="1" si="1027"/>
        <v>Пакет "Питер", 1000х90</v>
      </c>
      <c r="C189" s="649" t="str">
        <f t="shared" ca="1" si="1028"/>
        <v>Пакет</v>
      </c>
      <c r="D189" s="405">
        <f t="shared" ca="1" si="1029"/>
        <v>300</v>
      </c>
      <c r="E189" s="405">
        <f t="shared" ca="1" si="1030"/>
        <v>300</v>
      </c>
      <c r="F189" s="405">
        <f t="shared" ca="1" si="1031"/>
        <v>300</v>
      </c>
      <c r="G189" s="406">
        <f t="shared" ca="1" si="1032"/>
        <v>90000</v>
      </c>
      <c r="H189" s="406">
        <f t="shared" ca="1" si="1033"/>
        <v>90000</v>
      </c>
      <c r="I189" s="406">
        <f t="shared" ca="1" si="1034"/>
        <v>0</v>
      </c>
      <c r="J189" s="407">
        <f t="shared" ca="1" si="1035"/>
        <v>0</v>
      </c>
      <c r="K189" s="408"/>
      <c r="L189" s="409"/>
      <c r="M189" s="409"/>
      <c r="N189" s="409"/>
      <c r="O189" s="409"/>
      <c r="P189" s="409"/>
      <c r="Q189" s="409"/>
      <c r="R189" s="409"/>
      <c r="S189" s="409"/>
      <c r="T189" s="409"/>
      <c r="U189" s="409"/>
      <c r="V189" s="410"/>
      <c r="W189" s="406">
        <f t="shared" ca="1" si="1060"/>
        <v>0</v>
      </c>
      <c r="X189" s="406"/>
      <c r="Y189" s="411"/>
      <c r="Z189" s="412">
        <f t="shared" ref="Z189" si="1103">CK189</f>
        <v>0</v>
      </c>
      <c r="AA189" s="413"/>
      <c r="AB189" s="413"/>
      <c r="AC189" s="413"/>
      <c r="AD189" s="413"/>
      <c r="AE189" s="413"/>
      <c r="AF189" s="413"/>
      <c r="AG189" s="413"/>
      <c r="AH189" s="413"/>
      <c r="AI189" s="413"/>
      <c r="AJ189" s="413"/>
      <c r="AK189" s="413"/>
      <c r="AL189" s="413"/>
      <c r="AM189" s="572"/>
      <c r="AN189" s="351" t="s">
        <v>129</v>
      </c>
      <c r="AO189" s="351" t="str">
        <f t="shared" si="1074"/>
        <v>RIA.ru</v>
      </c>
      <c r="AP189" s="115">
        <f t="shared" si="883"/>
        <v>29</v>
      </c>
      <c r="AQ189" s="31" t="str">
        <f t="shared" ca="1" si="1037"/>
        <v>Вкл.</v>
      </c>
      <c r="AR189" s="31" t="str">
        <f t="shared" ca="1" si="1037"/>
        <v>-</v>
      </c>
      <c r="AS189" s="35">
        <v>0</v>
      </c>
      <c r="AT189" s="229">
        <v>0</v>
      </c>
      <c r="AU189" s="344">
        <f t="shared" ca="1" si="1038"/>
        <v>300</v>
      </c>
      <c r="AV189" s="345">
        <f t="shared" ca="1" si="1039"/>
        <v>300</v>
      </c>
      <c r="AW189" s="346">
        <f t="shared" ca="1" si="1040"/>
        <v>300</v>
      </c>
      <c r="AX189" s="280"/>
      <c r="AY189" s="280"/>
      <c r="AZ189" s="347">
        <f t="shared" ca="1" si="1041"/>
        <v>90000</v>
      </c>
      <c r="BA189" s="348">
        <f t="shared" ca="1" si="1042"/>
        <v>90000</v>
      </c>
      <c r="BB189" s="347">
        <f t="shared" ca="1" si="1043"/>
        <v>300</v>
      </c>
      <c r="BC189" s="37" t="str">
        <f t="shared" ca="1" si="1043"/>
        <v>Пакет</v>
      </c>
      <c r="BD189" s="229" t="str">
        <f t="shared" ca="1" si="1044"/>
        <v>Пакет</v>
      </c>
      <c r="BE189" s="283">
        <f t="shared" ca="1" si="1075"/>
        <v>0</v>
      </c>
      <c r="BF189" s="347">
        <f t="array" aca="1" ref="BF189" ca="1">SUM($K189:$V189*$BK189:$BV189)*$AZ189</f>
        <v>0</v>
      </c>
      <c r="BG189" s="347">
        <f t="array" aca="1" ref="BG189" ca="1">SUM($K189:$V189*$BY189:$CJ189*$BK189:$BV189)*$AZ189*$BX189</f>
        <v>0</v>
      </c>
      <c r="BH189" s="347">
        <f t="array" aca="1" ref="BH189" ca="1">SUM($K189:$V189*$BY189:$CJ189*$BK189:$BV189)*(1-$BE189)*$AZ189*$BX189</f>
        <v>0</v>
      </c>
      <c r="BI189" s="350">
        <f t="shared" ca="1" si="1045"/>
        <v>0</v>
      </c>
      <c r="BJ189" s="275" t="str">
        <f t="shared" ca="1" si="1046"/>
        <v>Да</v>
      </c>
      <c r="BK189" s="116">
        <f t="shared" ca="1" si="1047"/>
        <v>0.8</v>
      </c>
      <c r="BL189" s="117">
        <f t="shared" ca="1" si="1047"/>
        <v>0.9</v>
      </c>
      <c r="BM189" s="117">
        <f t="shared" ca="1" si="1047"/>
        <v>1</v>
      </c>
      <c r="BN189" s="117">
        <f t="shared" ca="1" si="1047"/>
        <v>1</v>
      </c>
      <c r="BO189" s="117">
        <f t="shared" ca="1" si="1047"/>
        <v>1</v>
      </c>
      <c r="BP189" s="117">
        <f t="shared" ca="1" si="1047"/>
        <v>1</v>
      </c>
      <c r="BQ189" s="117">
        <f t="shared" ca="1" si="1047"/>
        <v>0.9</v>
      </c>
      <c r="BR189" s="117">
        <f t="shared" ca="1" si="1047"/>
        <v>0.9</v>
      </c>
      <c r="BS189" s="117">
        <f t="shared" ca="1" si="1047"/>
        <v>1.3</v>
      </c>
      <c r="BT189" s="117">
        <f t="shared" ca="1" si="1047"/>
        <v>1.3</v>
      </c>
      <c r="BU189" s="117">
        <f t="shared" ca="1" si="1047"/>
        <v>1.3</v>
      </c>
      <c r="BV189" s="278">
        <f t="shared" ca="1" si="1047"/>
        <v>1.3</v>
      </c>
      <c r="BW189" s="280">
        <f t="shared" si="1076"/>
        <v>13</v>
      </c>
      <c r="BX189" s="118">
        <f>IF($AN189="Ya",100%,100%+extraDelayZ)</f>
        <v>1</v>
      </c>
      <c r="BY189" s="263">
        <f t="shared" ref="BY189" si="1104">(1+AA189)</f>
        <v>1</v>
      </c>
      <c r="BZ189" s="264">
        <f t="shared" ref="BZ189" si="1105">(1+AB189)</f>
        <v>1</v>
      </c>
      <c r="CA189" s="264">
        <f t="shared" ref="CA189" si="1106">(1+AC189)</f>
        <v>1</v>
      </c>
      <c r="CB189" s="264">
        <f t="shared" ref="CB189" si="1107">(1+AD189)</f>
        <v>1</v>
      </c>
      <c r="CC189" s="264">
        <f t="shared" ref="CC189" si="1108">(1+AE189)</f>
        <v>1</v>
      </c>
      <c r="CD189" s="264">
        <f t="shared" ref="CD189" si="1109">(1+AF189)</f>
        <v>1</v>
      </c>
      <c r="CE189" s="264">
        <f t="shared" ref="CE189" si="1110">(1+AG189)</f>
        <v>1</v>
      </c>
      <c r="CF189" s="264">
        <f t="shared" ref="CF189" si="1111">(1+AH189)</f>
        <v>1</v>
      </c>
      <c r="CG189" s="264">
        <f t="shared" ref="CG189" si="1112">(1+AI189)</f>
        <v>1</v>
      </c>
      <c r="CH189" s="264">
        <f t="shared" ref="CH189" si="1113">(1+AJ189)</f>
        <v>1</v>
      </c>
      <c r="CI189" s="264">
        <f t="shared" ref="CI189" si="1114">(1+AK189)</f>
        <v>1</v>
      </c>
      <c r="CJ189" s="265">
        <f t="shared" ref="CJ189" si="1115">(1+AL189)</f>
        <v>1</v>
      </c>
      <c r="CK189" s="269">
        <f t="array" ref="CK189">IF(ISERROR(SUM($K189:$V189*$BY189:$CJ189)/SUM($K189:$V189)),1,SUM($K189:$V189*$BY189:$CJ189)/SUM($K189:$V189))-1</f>
        <v>0</v>
      </c>
      <c r="CL189" s="234"/>
    </row>
    <row r="190" spans="1:90" ht="12.75" hidden="1" outlineLevel="1" x14ac:dyDescent="0.2">
      <c r="B190" s="404" t="str">
        <f t="shared" ca="1" si="1027"/>
        <v>Пакет "Технологии", 240х400</v>
      </c>
      <c r="C190" s="649" t="str">
        <f t="shared" ca="1" si="1028"/>
        <v>Пакет</v>
      </c>
      <c r="D190" s="405">
        <f t="shared" ca="1" si="1029"/>
        <v>500</v>
      </c>
      <c r="E190" s="405">
        <f t="shared" ca="1" si="1030"/>
        <v>500</v>
      </c>
      <c r="F190" s="405">
        <f t="shared" ca="1" si="1031"/>
        <v>500</v>
      </c>
      <c r="G190" s="406">
        <f t="shared" ca="1" si="1032"/>
        <v>300000</v>
      </c>
      <c r="H190" s="406">
        <f t="shared" ca="1" si="1033"/>
        <v>300000</v>
      </c>
      <c r="I190" s="406">
        <f t="shared" ca="1" si="1034"/>
        <v>0</v>
      </c>
      <c r="J190" s="407">
        <f t="shared" ca="1" si="1035"/>
        <v>0</v>
      </c>
      <c r="K190" s="408"/>
      <c r="L190" s="409"/>
      <c r="M190" s="409"/>
      <c r="N190" s="409"/>
      <c r="O190" s="409"/>
      <c r="P190" s="409"/>
      <c r="Q190" s="409"/>
      <c r="R190" s="409"/>
      <c r="S190" s="409"/>
      <c r="T190" s="409"/>
      <c r="U190" s="409"/>
      <c r="V190" s="410"/>
      <c r="W190" s="406">
        <f t="shared" ca="1" si="1060"/>
        <v>0</v>
      </c>
      <c r="X190" s="406"/>
      <c r="Y190" s="411"/>
      <c r="Z190" s="412">
        <f t="shared" ref="Z190" si="1116">CK190</f>
        <v>0</v>
      </c>
      <c r="AA190" s="413"/>
      <c r="AB190" s="413"/>
      <c r="AC190" s="413"/>
      <c r="AD190" s="413"/>
      <c r="AE190" s="413"/>
      <c r="AF190" s="413"/>
      <c r="AG190" s="413"/>
      <c r="AH190" s="413"/>
      <c r="AI190" s="413"/>
      <c r="AJ190" s="413"/>
      <c r="AK190" s="413"/>
      <c r="AL190" s="413"/>
      <c r="AM190" s="572"/>
      <c r="AN190" s="351" t="s">
        <v>129</v>
      </c>
      <c r="AO190" s="351" t="str">
        <f t="shared" si="1074"/>
        <v>RIA.ru</v>
      </c>
      <c r="AP190" s="115">
        <f t="shared" si="883"/>
        <v>29</v>
      </c>
      <c r="AQ190" s="31" t="str">
        <f t="shared" ca="1" si="1037"/>
        <v>-</v>
      </c>
      <c r="AR190" s="31" t="str">
        <f t="shared" ca="1" si="1037"/>
        <v>-</v>
      </c>
      <c r="AS190" s="35">
        <v>0</v>
      </c>
      <c r="AT190" s="229">
        <v>0</v>
      </c>
      <c r="AU190" s="344">
        <f t="shared" ca="1" si="1038"/>
        <v>500</v>
      </c>
      <c r="AV190" s="345">
        <f t="shared" ca="1" si="1039"/>
        <v>500</v>
      </c>
      <c r="AW190" s="346">
        <f t="shared" ca="1" si="1040"/>
        <v>500</v>
      </c>
      <c r="AX190" s="280"/>
      <c r="AY190" s="280"/>
      <c r="AZ190" s="347">
        <f t="shared" ca="1" si="1041"/>
        <v>300000</v>
      </c>
      <c r="BA190" s="348">
        <f t="shared" ca="1" si="1042"/>
        <v>300000</v>
      </c>
      <c r="BB190" s="347">
        <f t="shared" ca="1" si="1043"/>
        <v>600</v>
      </c>
      <c r="BC190" s="37" t="str">
        <f t="shared" ca="1" si="1043"/>
        <v>Пакет</v>
      </c>
      <c r="BD190" s="229" t="str">
        <f t="shared" ca="1" si="1044"/>
        <v>Пакет</v>
      </c>
      <c r="BE190" s="283">
        <f t="shared" ca="1" si="1075"/>
        <v>0</v>
      </c>
      <c r="BF190" s="347">
        <f t="array" aca="1" ref="BF190" ca="1">SUM($K190:$V190*$BK190:$BV190)*$AZ190</f>
        <v>0</v>
      </c>
      <c r="BG190" s="347">
        <f t="array" aca="1" ref="BG190" ca="1">SUM($K190:$V190*$BY190:$CJ190*$BK190:$BV190)*$AZ190*$BX190</f>
        <v>0</v>
      </c>
      <c r="BH190" s="347">
        <f t="array" aca="1" ref="BH190" ca="1">SUM($K190:$V190*$BY190:$CJ190*$BK190:$BV190)*(1-$BE190)*$AZ190*$BX190</f>
        <v>0</v>
      </c>
      <c r="BI190" s="350">
        <f t="shared" ca="1" si="1045"/>
        <v>0</v>
      </c>
      <c r="BJ190" s="275" t="str">
        <f t="shared" ca="1" si="1046"/>
        <v>Да</v>
      </c>
      <c r="BK190" s="116">
        <f t="shared" ca="1" si="1047"/>
        <v>0.8</v>
      </c>
      <c r="BL190" s="117">
        <f t="shared" ca="1" si="1047"/>
        <v>0.9</v>
      </c>
      <c r="BM190" s="117">
        <f t="shared" ca="1" si="1047"/>
        <v>1</v>
      </c>
      <c r="BN190" s="117">
        <f t="shared" ca="1" si="1047"/>
        <v>1</v>
      </c>
      <c r="BO190" s="117">
        <f t="shared" ca="1" si="1047"/>
        <v>1</v>
      </c>
      <c r="BP190" s="117">
        <f t="shared" ca="1" si="1047"/>
        <v>1</v>
      </c>
      <c r="BQ190" s="117">
        <f t="shared" ca="1" si="1047"/>
        <v>0.9</v>
      </c>
      <c r="BR190" s="117">
        <f t="shared" ca="1" si="1047"/>
        <v>0.9</v>
      </c>
      <c r="BS190" s="117">
        <f t="shared" ca="1" si="1047"/>
        <v>1.3</v>
      </c>
      <c r="BT190" s="117">
        <f t="shared" ca="1" si="1047"/>
        <v>1.3</v>
      </c>
      <c r="BU190" s="117">
        <f t="shared" ca="1" si="1047"/>
        <v>1.3</v>
      </c>
      <c r="BV190" s="278">
        <f t="shared" ca="1" si="1047"/>
        <v>1.3</v>
      </c>
      <c r="BW190" s="280">
        <f t="shared" si="1076"/>
        <v>14</v>
      </c>
      <c r="BX190" s="118">
        <f>IF($AN190="Ya",100%,100%+extraDelayZ)</f>
        <v>1</v>
      </c>
      <c r="BY190" s="263">
        <f t="shared" ref="BY190" si="1117">(1+AA190)</f>
        <v>1</v>
      </c>
      <c r="BZ190" s="264">
        <f t="shared" ref="BZ190" si="1118">(1+AB190)</f>
        <v>1</v>
      </c>
      <c r="CA190" s="264">
        <f t="shared" ref="CA190" si="1119">(1+AC190)</f>
        <v>1</v>
      </c>
      <c r="CB190" s="264">
        <f t="shared" ref="CB190" si="1120">(1+AD190)</f>
        <v>1</v>
      </c>
      <c r="CC190" s="264">
        <f t="shared" ref="CC190" si="1121">(1+AE190)</f>
        <v>1</v>
      </c>
      <c r="CD190" s="264">
        <f t="shared" ref="CD190" si="1122">(1+AF190)</f>
        <v>1</v>
      </c>
      <c r="CE190" s="264">
        <f t="shared" ref="CE190" si="1123">(1+AG190)</f>
        <v>1</v>
      </c>
      <c r="CF190" s="264">
        <f t="shared" ref="CF190" si="1124">(1+AH190)</f>
        <v>1</v>
      </c>
      <c r="CG190" s="264">
        <f t="shared" ref="CG190" si="1125">(1+AI190)</f>
        <v>1</v>
      </c>
      <c r="CH190" s="264">
        <f t="shared" ref="CH190" si="1126">(1+AJ190)</f>
        <v>1</v>
      </c>
      <c r="CI190" s="264">
        <f t="shared" ref="CI190" si="1127">(1+AK190)</f>
        <v>1</v>
      </c>
      <c r="CJ190" s="265">
        <f t="shared" ref="CJ190" si="1128">(1+AL190)</f>
        <v>1</v>
      </c>
      <c r="CK190" s="269">
        <f t="array" ref="CK190">IF(ISERROR(SUM($K190:$V190*$BY190:$CJ190)/SUM($K190:$V190)),1,SUM($K190:$V190*$BY190:$CJ190)/SUM($K190:$V190))-1</f>
        <v>0</v>
      </c>
      <c r="CL190" s="234"/>
    </row>
    <row r="191" spans="1:90" ht="12.75" hidden="1" outlineLevel="1" x14ac:dyDescent="0.2">
      <c r="B191" s="404" t="str">
        <f t="shared" ca="1" si="1027"/>
        <v>Пакет "Технологии", 1000х90</v>
      </c>
      <c r="C191" s="649" t="str">
        <f t="shared" ca="1" si="1028"/>
        <v>Пакет</v>
      </c>
      <c r="D191" s="405">
        <f t="shared" ca="1" si="1029"/>
        <v>400</v>
      </c>
      <c r="E191" s="405">
        <f t="shared" ca="1" si="1030"/>
        <v>400</v>
      </c>
      <c r="F191" s="405">
        <f t="shared" ca="1" si="1031"/>
        <v>400</v>
      </c>
      <c r="G191" s="406">
        <f t="shared" ca="1" si="1032"/>
        <v>240000</v>
      </c>
      <c r="H191" s="406">
        <f t="shared" ca="1" si="1033"/>
        <v>240000</v>
      </c>
      <c r="I191" s="406">
        <f t="shared" ca="1" si="1034"/>
        <v>0</v>
      </c>
      <c r="J191" s="407">
        <f t="shared" ca="1" si="1035"/>
        <v>0</v>
      </c>
      <c r="K191" s="408"/>
      <c r="L191" s="409"/>
      <c r="M191" s="409"/>
      <c r="N191" s="409"/>
      <c r="O191" s="409"/>
      <c r="P191" s="409"/>
      <c r="Q191" s="409"/>
      <c r="R191" s="409"/>
      <c r="S191" s="409"/>
      <c r="T191" s="409"/>
      <c r="U191" s="409"/>
      <c r="V191" s="410"/>
      <c r="W191" s="406">
        <f t="shared" ca="1" si="1060"/>
        <v>0</v>
      </c>
      <c r="X191" s="406"/>
      <c r="Y191" s="411"/>
      <c r="Z191" s="412">
        <f t="shared" ref="Z191" si="1129">CK191</f>
        <v>0</v>
      </c>
      <c r="AA191" s="413"/>
      <c r="AB191" s="413"/>
      <c r="AC191" s="413"/>
      <c r="AD191" s="413"/>
      <c r="AE191" s="413"/>
      <c r="AF191" s="413"/>
      <c r="AG191" s="413"/>
      <c r="AH191" s="413"/>
      <c r="AI191" s="413"/>
      <c r="AJ191" s="413"/>
      <c r="AK191" s="413"/>
      <c r="AL191" s="413"/>
      <c r="AM191" s="572"/>
      <c r="AN191" s="351" t="s">
        <v>129</v>
      </c>
      <c r="AO191" s="351" t="str">
        <f t="shared" si="1074"/>
        <v>RIA.ru</v>
      </c>
      <c r="AP191" s="115">
        <f t="shared" si="883"/>
        <v>29</v>
      </c>
      <c r="AQ191" s="31" t="str">
        <f t="shared" ca="1" si="1037"/>
        <v>-</v>
      </c>
      <c r="AR191" s="31" t="str">
        <f t="shared" ca="1" si="1037"/>
        <v>-</v>
      </c>
      <c r="AS191" s="35">
        <v>0</v>
      </c>
      <c r="AT191" s="229">
        <v>0</v>
      </c>
      <c r="AU191" s="344">
        <f t="shared" ca="1" si="1038"/>
        <v>400</v>
      </c>
      <c r="AV191" s="345">
        <f t="shared" ca="1" si="1039"/>
        <v>400</v>
      </c>
      <c r="AW191" s="346">
        <f t="shared" ca="1" si="1040"/>
        <v>400</v>
      </c>
      <c r="AX191" s="280"/>
      <c r="AY191" s="280"/>
      <c r="AZ191" s="347">
        <f t="shared" ca="1" si="1041"/>
        <v>240000</v>
      </c>
      <c r="BA191" s="348">
        <f t="shared" ca="1" si="1042"/>
        <v>240000</v>
      </c>
      <c r="BB191" s="347">
        <f t="shared" ca="1" si="1043"/>
        <v>600</v>
      </c>
      <c r="BC191" s="37" t="str">
        <f t="shared" ca="1" si="1043"/>
        <v>Пакет</v>
      </c>
      <c r="BD191" s="229" t="str">
        <f t="shared" ca="1" si="1044"/>
        <v>Пакет</v>
      </c>
      <c r="BE191" s="283">
        <f t="shared" ca="1" si="1075"/>
        <v>0</v>
      </c>
      <c r="BF191" s="347">
        <f t="array" aca="1" ref="BF191" ca="1">SUM($K191:$V191*$BK191:$BV191)*$AZ191</f>
        <v>0</v>
      </c>
      <c r="BG191" s="347">
        <f t="array" aca="1" ref="BG191" ca="1">SUM($K191:$V191*$BY191:$CJ191*$BK191:$BV191)*$AZ191*$BX191</f>
        <v>0</v>
      </c>
      <c r="BH191" s="347">
        <f t="array" aca="1" ref="BH191" ca="1">SUM($K191:$V191*$BY191:$CJ191*$BK191:$BV191)*(1-$BE191)*$AZ191*$BX191</f>
        <v>0</v>
      </c>
      <c r="BI191" s="350">
        <f t="shared" ca="1" si="1045"/>
        <v>0</v>
      </c>
      <c r="BJ191" s="275" t="str">
        <f t="shared" ca="1" si="1046"/>
        <v>Да</v>
      </c>
      <c r="BK191" s="116">
        <f t="shared" ca="1" si="1047"/>
        <v>0.8</v>
      </c>
      <c r="BL191" s="117">
        <f t="shared" ca="1" si="1047"/>
        <v>0.9</v>
      </c>
      <c r="BM191" s="117">
        <f t="shared" ca="1" si="1047"/>
        <v>1</v>
      </c>
      <c r="BN191" s="117">
        <f t="shared" ca="1" si="1047"/>
        <v>1</v>
      </c>
      <c r="BO191" s="117">
        <f t="shared" ca="1" si="1047"/>
        <v>1</v>
      </c>
      <c r="BP191" s="117">
        <f t="shared" ca="1" si="1047"/>
        <v>1</v>
      </c>
      <c r="BQ191" s="117">
        <f t="shared" ca="1" si="1047"/>
        <v>0.9</v>
      </c>
      <c r="BR191" s="117">
        <f t="shared" ca="1" si="1047"/>
        <v>0.9</v>
      </c>
      <c r="BS191" s="117">
        <f t="shared" ca="1" si="1047"/>
        <v>1.3</v>
      </c>
      <c r="BT191" s="117">
        <f t="shared" ca="1" si="1047"/>
        <v>1.3</v>
      </c>
      <c r="BU191" s="117">
        <f t="shared" ca="1" si="1047"/>
        <v>1.3</v>
      </c>
      <c r="BV191" s="278">
        <f t="shared" ca="1" si="1047"/>
        <v>1.3</v>
      </c>
      <c r="BW191" s="280">
        <f t="shared" si="1076"/>
        <v>15</v>
      </c>
      <c r="BX191" s="118">
        <f>IF($AN191="Ya",100%,100%+extraDelayZ)</f>
        <v>1</v>
      </c>
      <c r="BY191" s="263">
        <f t="shared" ref="BY191" si="1130">(1+AA191)</f>
        <v>1</v>
      </c>
      <c r="BZ191" s="264">
        <f t="shared" ref="BZ191" si="1131">(1+AB191)</f>
        <v>1</v>
      </c>
      <c r="CA191" s="264">
        <f t="shared" ref="CA191" si="1132">(1+AC191)</f>
        <v>1</v>
      </c>
      <c r="CB191" s="264">
        <f t="shared" ref="CB191" si="1133">(1+AD191)</f>
        <v>1</v>
      </c>
      <c r="CC191" s="264">
        <f t="shared" ref="CC191" si="1134">(1+AE191)</f>
        <v>1</v>
      </c>
      <c r="CD191" s="264">
        <f t="shared" ref="CD191" si="1135">(1+AF191)</f>
        <v>1</v>
      </c>
      <c r="CE191" s="264">
        <f t="shared" ref="CE191" si="1136">(1+AG191)</f>
        <v>1</v>
      </c>
      <c r="CF191" s="264">
        <f t="shared" ref="CF191" si="1137">(1+AH191)</f>
        <v>1</v>
      </c>
      <c r="CG191" s="264">
        <f t="shared" ref="CG191" si="1138">(1+AI191)</f>
        <v>1</v>
      </c>
      <c r="CH191" s="264">
        <f t="shared" ref="CH191" si="1139">(1+AJ191)</f>
        <v>1</v>
      </c>
      <c r="CI191" s="264">
        <f t="shared" ref="CI191" si="1140">(1+AK191)</f>
        <v>1</v>
      </c>
      <c r="CJ191" s="265">
        <f t="shared" ref="CJ191" si="1141">(1+AL191)</f>
        <v>1</v>
      </c>
      <c r="CK191" s="269">
        <f t="array" ref="CK191">IF(ISERROR(SUM($K191:$V191*$BY191:$CJ191)/SUM($K191:$V191)),1,SUM($K191:$V191*$BY191:$CJ191)/SUM($K191:$V191))-1</f>
        <v>0</v>
      </c>
      <c r="CL191" s="234"/>
    </row>
    <row r="192" spans="1:90" ht="12.75" hidden="1" outlineLevel="1" x14ac:dyDescent="0.2">
      <c r="B192" s="404" t="str">
        <f t="shared" ca="1" si="1027"/>
        <v>Пакет "Кино", 240х400</v>
      </c>
      <c r="C192" s="649" t="str">
        <f t="shared" ca="1" si="1028"/>
        <v>Пакет</v>
      </c>
      <c r="D192" s="405">
        <f t="shared" ca="1" si="1029"/>
        <v>300</v>
      </c>
      <c r="E192" s="405">
        <f t="shared" ca="1" si="1030"/>
        <v>300</v>
      </c>
      <c r="F192" s="405">
        <f t="shared" ca="1" si="1031"/>
        <v>300</v>
      </c>
      <c r="G192" s="406">
        <f t="shared" ca="1" si="1032"/>
        <v>180000</v>
      </c>
      <c r="H192" s="406">
        <f t="shared" ca="1" si="1033"/>
        <v>180000</v>
      </c>
      <c r="I192" s="406">
        <f t="shared" ca="1" si="1034"/>
        <v>0</v>
      </c>
      <c r="J192" s="407">
        <f t="shared" ca="1" si="1035"/>
        <v>0</v>
      </c>
      <c r="K192" s="408"/>
      <c r="L192" s="409"/>
      <c r="M192" s="409"/>
      <c r="N192" s="409"/>
      <c r="O192" s="409"/>
      <c r="P192" s="409"/>
      <c r="Q192" s="409"/>
      <c r="R192" s="409"/>
      <c r="S192" s="409"/>
      <c r="T192" s="409"/>
      <c r="U192" s="409"/>
      <c r="V192" s="410"/>
      <c r="W192" s="406">
        <f t="shared" ca="1" si="1060"/>
        <v>0</v>
      </c>
      <c r="X192" s="406"/>
      <c r="Y192" s="411"/>
      <c r="Z192" s="412">
        <f t="shared" ref="Z192" si="1142">CK192</f>
        <v>0</v>
      </c>
      <c r="AA192" s="413"/>
      <c r="AB192" s="413"/>
      <c r="AC192" s="413"/>
      <c r="AD192" s="413"/>
      <c r="AE192" s="413"/>
      <c r="AF192" s="413"/>
      <c r="AG192" s="413"/>
      <c r="AH192" s="413"/>
      <c r="AI192" s="413"/>
      <c r="AJ192" s="413"/>
      <c r="AK192" s="413"/>
      <c r="AL192" s="413"/>
      <c r="AM192" s="572"/>
      <c r="AN192" s="351" t="s">
        <v>129</v>
      </c>
      <c r="AO192" s="351" t="str">
        <f t="shared" si="1074"/>
        <v>RIA.ru</v>
      </c>
      <c r="AP192" s="115">
        <f t="shared" si="883"/>
        <v>29</v>
      </c>
      <c r="AQ192" s="31" t="str">
        <f t="shared" ca="1" si="1037"/>
        <v>-</v>
      </c>
      <c r="AR192" s="31" t="str">
        <f t="shared" ca="1" si="1037"/>
        <v>-</v>
      </c>
      <c r="AS192" s="35">
        <v>0</v>
      </c>
      <c r="AT192" s="229">
        <v>0</v>
      </c>
      <c r="AU192" s="344">
        <f t="shared" ca="1" si="1038"/>
        <v>300</v>
      </c>
      <c r="AV192" s="345">
        <f t="shared" ca="1" si="1039"/>
        <v>300</v>
      </c>
      <c r="AW192" s="346">
        <f t="shared" ca="1" si="1040"/>
        <v>300</v>
      </c>
      <c r="AX192" s="280"/>
      <c r="AY192" s="280"/>
      <c r="AZ192" s="347">
        <f t="shared" ca="1" si="1041"/>
        <v>180000</v>
      </c>
      <c r="BA192" s="348">
        <f t="shared" ca="1" si="1042"/>
        <v>180000</v>
      </c>
      <c r="BB192" s="347">
        <f t="shared" ca="1" si="1043"/>
        <v>600</v>
      </c>
      <c r="BC192" s="37" t="str">
        <f t="shared" ca="1" si="1043"/>
        <v>Пакет</v>
      </c>
      <c r="BD192" s="229" t="str">
        <f t="shared" ca="1" si="1044"/>
        <v>Пакет</v>
      </c>
      <c r="BE192" s="283">
        <f t="shared" ca="1" si="1075"/>
        <v>0</v>
      </c>
      <c r="BF192" s="347">
        <f t="array" aca="1" ref="BF192" ca="1">SUM($K192:$V192*$BK192:$BV192)*$AZ192</f>
        <v>0</v>
      </c>
      <c r="BG192" s="347">
        <f t="array" aca="1" ref="BG192" ca="1">SUM($K192:$V192*$BY192:$CJ192*$BK192:$BV192)*$AZ192*$BX192</f>
        <v>0</v>
      </c>
      <c r="BH192" s="347">
        <f t="array" aca="1" ref="BH192" ca="1">SUM($K192:$V192*$BY192:$CJ192*$BK192:$BV192)*(1-$BE192)*$AZ192*$BX192</f>
        <v>0</v>
      </c>
      <c r="BI192" s="350">
        <f t="shared" ca="1" si="1045"/>
        <v>0</v>
      </c>
      <c r="BJ192" s="275" t="str">
        <f t="shared" ca="1" si="1046"/>
        <v>Да</v>
      </c>
      <c r="BK192" s="116">
        <f t="shared" ca="1" si="1047"/>
        <v>0.8</v>
      </c>
      <c r="BL192" s="117">
        <f t="shared" ca="1" si="1047"/>
        <v>0.9</v>
      </c>
      <c r="BM192" s="117">
        <f t="shared" ca="1" si="1047"/>
        <v>1</v>
      </c>
      <c r="BN192" s="117">
        <f t="shared" ca="1" si="1047"/>
        <v>1</v>
      </c>
      <c r="BO192" s="117">
        <f t="shared" ca="1" si="1047"/>
        <v>1</v>
      </c>
      <c r="BP192" s="117">
        <f t="shared" ca="1" si="1047"/>
        <v>1</v>
      </c>
      <c r="BQ192" s="117">
        <f t="shared" ca="1" si="1047"/>
        <v>0.9</v>
      </c>
      <c r="BR192" s="117">
        <f t="shared" ca="1" si="1047"/>
        <v>0.9</v>
      </c>
      <c r="BS192" s="117">
        <f t="shared" ca="1" si="1047"/>
        <v>1.3</v>
      </c>
      <c r="BT192" s="117">
        <f t="shared" ca="1" si="1047"/>
        <v>1.3</v>
      </c>
      <c r="BU192" s="117">
        <f t="shared" ca="1" si="1047"/>
        <v>1.3</v>
      </c>
      <c r="BV192" s="278">
        <f t="shared" ca="1" si="1047"/>
        <v>1.3</v>
      </c>
      <c r="BW192" s="280">
        <f t="shared" si="1076"/>
        <v>16</v>
      </c>
      <c r="BX192" s="118">
        <f>IF($AN192="Ya",100%,100%+extraDelayZ)</f>
        <v>1</v>
      </c>
      <c r="BY192" s="263">
        <f t="shared" ref="BY192" si="1143">(1+AA192)</f>
        <v>1</v>
      </c>
      <c r="BZ192" s="264">
        <f t="shared" ref="BZ192" si="1144">(1+AB192)</f>
        <v>1</v>
      </c>
      <c r="CA192" s="264">
        <f t="shared" ref="CA192" si="1145">(1+AC192)</f>
        <v>1</v>
      </c>
      <c r="CB192" s="264">
        <f t="shared" ref="CB192" si="1146">(1+AD192)</f>
        <v>1</v>
      </c>
      <c r="CC192" s="264">
        <f t="shared" ref="CC192" si="1147">(1+AE192)</f>
        <v>1</v>
      </c>
      <c r="CD192" s="264">
        <f t="shared" ref="CD192" si="1148">(1+AF192)</f>
        <v>1</v>
      </c>
      <c r="CE192" s="264">
        <f t="shared" ref="CE192" si="1149">(1+AG192)</f>
        <v>1</v>
      </c>
      <c r="CF192" s="264">
        <f t="shared" ref="CF192" si="1150">(1+AH192)</f>
        <v>1</v>
      </c>
      <c r="CG192" s="264">
        <f t="shared" ref="CG192" si="1151">(1+AI192)</f>
        <v>1</v>
      </c>
      <c r="CH192" s="264">
        <f t="shared" ref="CH192" si="1152">(1+AJ192)</f>
        <v>1</v>
      </c>
      <c r="CI192" s="264">
        <f t="shared" ref="CI192" si="1153">(1+AK192)</f>
        <v>1</v>
      </c>
      <c r="CJ192" s="265">
        <f t="shared" ref="CJ192" si="1154">(1+AL192)</f>
        <v>1</v>
      </c>
      <c r="CK192" s="269">
        <f t="array" ref="CK192">IF(ISERROR(SUM($K192:$V192*$BY192:$CJ192)/SUM($K192:$V192)),1,SUM($K192:$V192*$BY192:$CJ192)/SUM($K192:$V192))-1</f>
        <v>0</v>
      </c>
      <c r="CL192" s="234"/>
    </row>
    <row r="193" spans="1:90" ht="12.75" hidden="1" outlineLevel="1" x14ac:dyDescent="0.2">
      <c r="B193" s="404" t="str">
        <f t="shared" ca="1" si="1027"/>
        <v>Пакет "Кино", 1000х90</v>
      </c>
      <c r="C193" s="649" t="str">
        <f t="shared" ca="1" si="1028"/>
        <v>Пакет</v>
      </c>
      <c r="D193" s="405">
        <f t="shared" ca="1" si="1029"/>
        <v>200</v>
      </c>
      <c r="E193" s="405">
        <f t="shared" ca="1" si="1030"/>
        <v>200</v>
      </c>
      <c r="F193" s="405">
        <f t="shared" ca="1" si="1031"/>
        <v>200</v>
      </c>
      <c r="G193" s="406">
        <f t="shared" ca="1" si="1032"/>
        <v>120000</v>
      </c>
      <c r="H193" s="406">
        <f t="shared" ca="1" si="1033"/>
        <v>120000</v>
      </c>
      <c r="I193" s="406">
        <f t="shared" ca="1" si="1034"/>
        <v>0</v>
      </c>
      <c r="J193" s="407">
        <f t="shared" ca="1" si="1035"/>
        <v>0</v>
      </c>
      <c r="K193" s="408"/>
      <c r="L193" s="409"/>
      <c r="M193" s="409"/>
      <c r="N193" s="409"/>
      <c r="O193" s="409"/>
      <c r="P193" s="409"/>
      <c r="Q193" s="409"/>
      <c r="R193" s="409"/>
      <c r="S193" s="409"/>
      <c r="T193" s="409"/>
      <c r="U193" s="409"/>
      <c r="V193" s="410"/>
      <c r="W193" s="406">
        <f t="shared" ca="1" si="1060"/>
        <v>0</v>
      </c>
      <c r="X193" s="406"/>
      <c r="Y193" s="411"/>
      <c r="Z193" s="412">
        <f t="shared" si="1036"/>
        <v>0</v>
      </c>
      <c r="AA193" s="413"/>
      <c r="AB193" s="413"/>
      <c r="AC193" s="413"/>
      <c r="AD193" s="413"/>
      <c r="AE193" s="413"/>
      <c r="AF193" s="413"/>
      <c r="AG193" s="413"/>
      <c r="AH193" s="413"/>
      <c r="AI193" s="413"/>
      <c r="AJ193" s="413"/>
      <c r="AK193" s="413"/>
      <c r="AL193" s="413"/>
      <c r="AM193" s="572"/>
      <c r="AN193" s="351" t="s">
        <v>129</v>
      </c>
      <c r="AO193" s="351" t="str">
        <f t="shared" si="1074"/>
        <v>RIA.ru</v>
      </c>
      <c r="AP193" s="115">
        <f t="shared" si="883"/>
        <v>29</v>
      </c>
      <c r="AQ193" s="31" t="str">
        <f t="shared" ca="1" si="1037"/>
        <v>-</v>
      </c>
      <c r="AR193" s="31" t="str">
        <f t="shared" ca="1" si="1037"/>
        <v>-</v>
      </c>
      <c r="AS193" s="35">
        <v>0</v>
      </c>
      <c r="AT193" s="229">
        <v>0</v>
      </c>
      <c r="AU193" s="344">
        <f t="shared" ca="1" si="1038"/>
        <v>200</v>
      </c>
      <c r="AV193" s="345">
        <f t="shared" ca="1" si="1039"/>
        <v>200</v>
      </c>
      <c r="AW193" s="346">
        <f t="shared" ca="1" si="1040"/>
        <v>200</v>
      </c>
      <c r="AX193" s="280"/>
      <c r="AY193" s="280"/>
      <c r="AZ193" s="347">
        <f t="shared" ca="1" si="1041"/>
        <v>120000</v>
      </c>
      <c r="BA193" s="348">
        <f t="shared" ca="1" si="1042"/>
        <v>120000</v>
      </c>
      <c r="BB193" s="347">
        <f t="shared" ca="1" si="1043"/>
        <v>600</v>
      </c>
      <c r="BC193" s="37" t="str">
        <f t="shared" ca="1" si="1043"/>
        <v>Пакет</v>
      </c>
      <c r="BD193" s="229" t="str">
        <f t="shared" ca="1" si="1044"/>
        <v>Пакет</v>
      </c>
      <c r="BE193" s="283">
        <f t="shared" ca="1" si="1075"/>
        <v>0</v>
      </c>
      <c r="BF193" s="347">
        <f t="array" aca="1" ref="BF193" ca="1">SUM($K193:$V193*$BK193:$BV193)*$AZ193</f>
        <v>0</v>
      </c>
      <c r="BG193" s="347">
        <f t="array" aca="1" ref="BG193" ca="1">SUM($K193:$V193*$BY193:$CJ193*$BK193:$BV193)*$AZ193*$BX193</f>
        <v>0</v>
      </c>
      <c r="BH193" s="347">
        <f t="array" aca="1" ref="BH193" ca="1">SUM($K193:$V193*$BY193:$CJ193*$BK193:$BV193)*(1-$BE193)*$AZ193*$BX193</f>
        <v>0</v>
      </c>
      <c r="BI193" s="350">
        <f t="shared" ca="1" si="1045"/>
        <v>0</v>
      </c>
      <c r="BJ193" s="275" t="str">
        <f t="shared" ca="1" si="1046"/>
        <v>Да</v>
      </c>
      <c r="BK193" s="116">
        <f t="shared" ref="BK193:BV205" ca="1" si="1155">IF($BJ193="Особ.",INDEX(INDIRECT(LOWER($AN193)&amp;"Season2"),BK$9),IF($BJ193="Да",INDEX(INDIRECT(LOWER($AN193)&amp;"Season"),BK$9),100%))</f>
        <v>0.8</v>
      </c>
      <c r="BL193" s="117">
        <f t="shared" ca="1" si="1155"/>
        <v>0.9</v>
      </c>
      <c r="BM193" s="117">
        <f t="shared" ca="1" si="1155"/>
        <v>1</v>
      </c>
      <c r="BN193" s="117">
        <f t="shared" ca="1" si="1155"/>
        <v>1</v>
      </c>
      <c r="BO193" s="117">
        <f t="shared" ca="1" si="1155"/>
        <v>1</v>
      </c>
      <c r="BP193" s="117">
        <f t="shared" ca="1" si="1155"/>
        <v>1</v>
      </c>
      <c r="BQ193" s="117">
        <f t="shared" ca="1" si="1155"/>
        <v>0.9</v>
      </c>
      <c r="BR193" s="117">
        <f t="shared" ca="1" si="1155"/>
        <v>0.9</v>
      </c>
      <c r="BS193" s="117">
        <f t="shared" ca="1" si="1155"/>
        <v>1.3</v>
      </c>
      <c r="BT193" s="117">
        <f t="shared" ca="1" si="1155"/>
        <v>1.3</v>
      </c>
      <c r="BU193" s="117">
        <f t="shared" ca="1" si="1155"/>
        <v>1.3</v>
      </c>
      <c r="BV193" s="278">
        <f t="shared" ca="1" si="1155"/>
        <v>1.3</v>
      </c>
      <c r="BW193" s="280">
        <f t="shared" si="1076"/>
        <v>17</v>
      </c>
      <c r="BX193" s="118">
        <f>IF($AN193="Ya",100%,100%+extraDelayZ)</f>
        <v>1</v>
      </c>
      <c r="BY193" s="263">
        <f t="shared" si="1048"/>
        <v>1</v>
      </c>
      <c r="BZ193" s="264">
        <f t="shared" si="1049"/>
        <v>1</v>
      </c>
      <c r="CA193" s="264">
        <f t="shared" si="1050"/>
        <v>1</v>
      </c>
      <c r="CB193" s="264">
        <f t="shared" si="1051"/>
        <v>1</v>
      </c>
      <c r="CC193" s="264">
        <f t="shared" si="1052"/>
        <v>1</v>
      </c>
      <c r="CD193" s="264">
        <f t="shared" si="1053"/>
        <v>1</v>
      </c>
      <c r="CE193" s="264">
        <f t="shared" si="1054"/>
        <v>1</v>
      </c>
      <c r="CF193" s="264">
        <f t="shared" si="1055"/>
        <v>1</v>
      </c>
      <c r="CG193" s="264">
        <f t="shared" si="1056"/>
        <v>1</v>
      </c>
      <c r="CH193" s="264">
        <f t="shared" si="1057"/>
        <v>1</v>
      </c>
      <c r="CI193" s="264">
        <f t="shared" si="1058"/>
        <v>1</v>
      </c>
      <c r="CJ193" s="265">
        <f t="shared" si="1059"/>
        <v>1</v>
      </c>
      <c r="CK193" s="269">
        <f t="array" ref="CK193">IF(ISERROR(SUM($K193:$V193*$BY193:$CJ193)/SUM($K193:$V193)),1,SUM($K193:$V193*$BY193:$CJ193)/SUM($K193:$V193))-1</f>
        <v>0</v>
      </c>
      <c r="CL193" s="234"/>
    </row>
    <row r="194" spans="1:90" ht="12.75" hidden="1" outlineLevel="1" x14ac:dyDescent="0.2">
      <c r="B194" s="404" t="str">
        <f t="shared" ca="1" si="1027"/>
        <v>Пакет "Недвижимость", 240х400</v>
      </c>
      <c r="C194" s="649" t="str">
        <f t="shared" ca="1" si="1028"/>
        <v>Пакет</v>
      </c>
      <c r="D194" s="405">
        <f t="shared" ca="1" si="1029"/>
        <v>400</v>
      </c>
      <c r="E194" s="405">
        <f t="shared" ca="1" si="1030"/>
        <v>400</v>
      </c>
      <c r="F194" s="405">
        <f t="shared" ca="1" si="1031"/>
        <v>400</v>
      </c>
      <c r="G194" s="406">
        <f t="shared" ca="1" si="1032"/>
        <v>200000</v>
      </c>
      <c r="H194" s="406">
        <f t="shared" ca="1" si="1033"/>
        <v>200000</v>
      </c>
      <c r="I194" s="406">
        <f t="shared" ca="1" si="1034"/>
        <v>0</v>
      </c>
      <c r="J194" s="407">
        <f t="shared" ca="1" si="1035"/>
        <v>0</v>
      </c>
      <c r="K194" s="408"/>
      <c r="L194" s="409"/>
      <c r="M194" s="409"/>
      <c r="N194" s="409"/>
      <c r="O194" s="409"/>
      <c r="P194" s="409"/>
      <c r="Q194" s="409"/>
      <c r="R194" s="409"/>
      <c r="S194" s="409"/>
      <c r="T194" s="409"/>
      <c r="U194" s="409"/>
      <c r="V194" s="410"/>
      <c r="W194" s="406">
        <f t="shared" ca="1" si="1060"/>
        <v>0</v>
      </c>
      <c r="X194" s="406"/>
      <c r="Y194" s="411"/>
      <c r="Z194" s="412">
        <f t="shared" si="1036"/>
        <v>0</v>
      </c>
      <c r="AA194" s="413"/>
      <c r="AB194" s="413"/>
      <c r="AC194" s="413"/>
      <c r="AD194" s="413"/>
      <c r="AE194" s="413"/>
      <c r="AF194" s="413"/>
      <c r="AG194" s="413"/>
      <c r="AH194" s="413"/>
      <c r="AI194" s="413"/>
      <c r="AJ194" s="413"/>
      <c r="AK194" s="413"/>
      <c r="AL194" s="413"/>
      <c r="AM194" s="572"/>
      <c r="AN194" s="351" t="s">
        <v>129</v>
      </c>
      <c r="AO194" s="351" t="str">
        <f t="shared" si="1074"/>
        <v>RIA.ru</v>
      </c>
      <c r="AP194" s="115">
        <f t="shared" si="883"/>
        <v>29</v>
      </c>
      <c r="AQ194" s="31" t="str">
        <f t="shared" ca="1" si="1037"/>
        <v>-</v>
      </c>
      <c r="AR194" s="31" t="str">
        <f t="shared" ca="1" si="1037"/>
        <v>-</v>
      </c>
      <c r="AS194" s="35">
        <v>0</v>
      </c>
      <c r="AT194" s="229">
        <v>0</v>
      </c>
      <c r="AU194" s="344">
        <f t="shared" ca="1" si="1038"/>
        <v>400</v>
      </c>
      <c r="AV194" s="345">
        <f t="shared" ca="1" si="1039"/>
        <v>400</v>
      </c>
      <c r="AW194" s="346">
        <f t="shared" ca="1" si="1040"/>
        <v>400</v>
      </c>
      <c r="AX194" s="280"/>
      <c r="AY194" s="280"/>
      <c r="AZ194" s="347">
        <f t="shared" ca="1" si="1041"/>
        <v>200000</v>
      </c>
      <c r="BA194" s="348">
        <f t="shared" ca="1" si="1042"/>
        <v>200000</v>
      </c>
      <c r="BB194" s="347">
        <f t="shared" ca="1" si="1043"/>
        <v>500</v>
      </c>
      <c r="BC194" s="37" t="str">
        <f t="shared" ca="1" si="1043"/>
        <v>Пакет</v>
      </c>
      <c r="BD194" s="229" t="str">
        <f t="shared" ca="1" si="1044"/>
        <v>Пакет</v>
      </c>
      <c r="BE194" s="283">
        <f t="shared" ca="1" si="1075"/>
        <v>0</v>
      </c>
      <c r="BF194" s="347">
        <f t="array" aca="1" ref="BF194" ca="1">SUM($K194:$V194*$BK194:$BV194)*$AZ194</f>
        <v>0</v>
      </c>
      <c r="BG194" s="347">
        <f t="array" aca="1" ref="BG194" ca="1">SUM($K194:$V194*$BY194:$CJ194*$BK194:$BV194)*$AZ194*$BX194</f>
        <v>0</v>
      </c>
      <c r="BH194" s="347">
        <f t="array" aca="1" ref="BH194" ca="1">SUM($K194:$V194*$BY194:$CJ194*$BK194:$BV194)*(1-$BE194)*$AZ194*$BX194</f>
        <v>0</v>
      </c>
      <c r="BI194" s="350">
        <f t="shared" ca="1" si="1045"/>
        <v>0</v>
      </c>
      <c r="BJ194" s="275" t="str">
        <f t="shared" ca="1" si="1046"/>
        <v>Да</v>
      </c>
      <c r="BK194" s="116">
        <f t="shared" ca="1" si="1155"/>
        <v>0.8</v>
      </c>
      <c r="BL194" s="117">
        <f t="shared" ca="1" si="1155"/>
        <v>0.9</v>
      </c>
      <c r="BM194" s="117">
        <f t="shared" ca="1" si="1155"/>
        <v>1</v>
      </c>
      <c r="BN194" s="117">
        <f t="shared" ca="1" si="1155"/>
        <v>1</v>
      </c>
      <c r="BO194" s="117">
        <f t="shared" ca="1" si="1155"/>
        <v>1</v>
      </c>
      <c r="BP194" s="117">
        <f t="shared" ca="1" si="1155"/>
        <v>1</v>
      </c>
      <c r="BQ194" s="117">
        <f t="shared" ca="1" si="1155"/>
        <v>0.9</v>
      </c>
      <c r="BR194" s="117">
        <f t="shared" ca="1" si="1155"/>
        <v>0.9</v>
      </c>
      <c r="BS194" s="117">
        <f t="shared" ca="1" si="1155"/>
        <v>1.3</v>
      </c>
      <c r="BT194" s="117">
        <f t="shared" ca="1" si="1155"/>
        <v>1.3</v>
      </c>
      <c r="BU194" s="117">
        <f t="shared" ca="1" si="1155"/>
        <v>1.3</v>
      </c>
      <c r="BV194" s="278">
        <f t="shared" ca="1" si="1155"/>
        <v>1.3</v>
      </c>
      <c r="BW194" s="280">
        <f t="shared" si="1076"/>
        <v>18</v>
      </c>
      <c r="BX194" s="118">
        <f>IF($AN194="Ya",100%,100%+extraDelayZ)</f>
        <v>1</v>
      </c>
      <c r="BY194" s="263">
        <f t="shared" si="1048"/>
        <v>1</v>
      </c>
      <c r="BZ194" s="264">
        <f t="shared" si="1049"/>
        <v>1</v>
      </c>
      <c r="CA194" s="264">
        <f t="shared" si="1050"/>
        <v>1</v>
      </c>
      <c r="CB194" s="264">
        <f t="shared" si="1051"/>
        <v>1</v>
      </c>
      <c r="CC194" s="264">
        <f t="shared" si="1052"/>
        <v>1</v>
      </c>
      <c r="CD194" s="264">
        <f t="shared" si="1053"/>
        <v>1</v>
      </c>
      <c r="CE194" s="264">
        <f t="shared" si="1054"/>
        <v>1</v>
      </c>
      <c r="CF194" s="264">
        <f t="shared" si="1055"/>
        <v>1</v>
      </c>
      <c r="CG194" s="264">
        <f t="shared" si="1056"/>
        <v>1</v>
      </c>
      <c r="CH194" s="264">
        <f t="shared" si="1057"/>
        <v>1</v>
      </c>
      <c r="CI194" s="264">
        <f t="shared" si="1058"/>
        <v>1</v>
      </c>
      <c r="CJ194" s="265">
        <f t="shared" si="1059"/>
        <v>1</v>
      </c>
      <c r="CK194" s="269">
        <f t="array" ref="CK194">IF(ISERROR(SUM($K194:$V194*$BY194:$CJ194)/SUM($K194:$V194)),1,SUM($K194:$V194*$BY194:$CJ194)/SUM($K194:$V194))-1</f>
        <v>0</v>
      </c>
      <c r="CL194" s="234"/>
    </row>
    <row r="195" spans="1:90" ht="12.75" hidden="1" outlineLevel="1" x14ac:dyDescent="0.2">
      <c r="B195" s="404" t="str">
        <f t="shared" ca="1" si="1027"/>
        <v>Пакет "Недвижимость", 960х90</v>
      </c>
      <c r="C195" s="649" t="str">
        <f t="shared" ca="1" si="1028"/>
        <v>Пакет</v>
      </c>
      <c r="D195" s="405">
        <f t="shared" ca="1" si="1029"/>
        <v>250</v>
      </c>
      <c r="E195" s="405">
        <f t="shared" ca="1" si="1030"/>
        <v>250</v>
      </c>
      <c r="F195" s="405">
        <f t="shared" ca="1" si="1031"/>
        <v>250</v>
      </c>
      <c r="G195" s="406">
        <f t="shared" ca="1" si="1032"/>
        <v>125000</v>
      </c>
      <c r="H195" s="406">
        <f t="shared" ca="1" si="1033"/>
        <v>125000</v>
      </c>
      <c r="I195" s="406">
        <f t="shared" ca="1" si="1034"/>
        <v>0</v>
      </c>
      <c r="J195" s="407">
        <f t="shared" ca="1" si="1035"/>
        <v>0</v>
      </c>
      <c r="K195" s="408"/>
      <c r="L195" s="409"/>
      <c r="M195" s="409"/>
      <c r="N195" s="409"/>
      <c r="O195" s="409"/>
      <c r="P195" s="409"/>
      <c r="Q195" s="409"/>
      <c r="R195" s="409"/>
      <c r="S195" s="409"/>
      <c r="T195" s="409"/>
      <c r="U195" s="409"/>
      <c r="V195" s="410"/>
      <c r="W195" s="406">
        <f t="shared" ca="1" si="1060"/>
        <v>0</v>
      </c>
      <c r="X195" s="406"/>
      <c r="Y195" s="411"/>
      <c r="Z195" s="412">
        <f t="shared" si="1036"/>
        <v>0</v>
      </c>
      <c r="AA195" s="413"/>
      <c r="AB195" s="413"/>
      <c r="AC195" s="413"/>
      <c r="AD195" s="413"/>
      <c r="AE195" s="413"/>
      <c r="AF195" s="413"/>
      <c r="AG195" s="413"/>
      <c r="AH195" s="413"/>
      <c r="AI195" s="413"/>
      <c r="AJ195" s="413"/>
      <c r="AK195" s="413"/>
      <c r="AL195" s="413"/>
      <c r="AM195" s="572"/>
      <c r="AN195" s="351" t="s">
        <v>129</v>
      </c>
      <c r="AO195" s="351" t="str">
        <f t="shared" si="1074"/>
        <v>RIA.ru</v>
      </c>
      <c r="AP195" s="115">
        <f t="shared" si="883"/>
        <v>29</v>
      </c>
      <c r="AQ195" s="31" t="str">
        <f t="shared" ca="1" si="1037"/>
        <v>-</v>
      </c>
      <c r="AR195" s="31" t="str">
        <f t="shared" ca="1" si="1037"/>
        <v>-</v>
      </c>
      <c r="AS195" s="35">
        <v>0</v>
      </c>
      <c r="AT195" s="229">
        <v>0</v>
      </c>
      <c r="AU195" s="344">
        <f t="shared" ca="1" si="1038"/>
        <v>250</v>
      </c>
      <c r="AV195" s="345">
        <f t="shared" ca="1" si="1039"/>
        <v>250</v>
      </c>
      <c r="AW195" s="346">
        <f t="shared" ca="1" si="1040"/>
        <v>250</v>
      </c>
      <c r="AX195" s="280"/>
      <c r="AY195" s="280"/>
      <c r="AZ195" s="347">
        <f t="shared" ca="1" si="1041"/>
        <v>125000</v>
      </c>
      <c r="BA195" s="348">
        <f t="shared" ca="1" si="1042"/>
        <v>125000</v>
      </c>
      <c r="BB195" s="347">
        <f t="shared" ca="1" si="1043"/>
        <v>500</v>
      </c>
      <c r="BC195" s="37" t="str">
        <f t="shared" ca="1" si="1043"/>
        <v>Пакет</v>
      </c>
      <c r="BD195" s="229" t="str">
        <f t="shared" ca="1" si="1044"/>
        <v>Пакет</v>
      </c>
      <c r="BE195" s="283">
        <f t="shared" ca="1" si="1075"/>
        <v>0</v>
      </c>
      <c r="BF195" s="347">
        <f t="array" aca="1" ref="BF195" ca="1">SUM($K195:$V195*$BK195:$BV195)*$AZ195</f>
        <v>0</v>
      </c>
      <c r="BG195" s="347">
        <f t="array" aca="1" ref="BG195" ca="1">SUM($K195:$V195*$BY195:$CJ195*$BK195:$BV195)*$AZ195*$BX195</f>
        <v>0</v>
      </c>
      <c r="BH195" s="347">
        <f t="array" aca="1" ref="BH195" ca="1">SUM($K195:$V195*$BY195:$CJ195*$BK195:$BV195)*(1-$BE195)*$AZ195*$BX195</f>
        <v>0</v>
      </c>
      <c r="BI195" s="350">
        <f t="shared" ca="1" si="1045"/>
        <v>0</v>
      </c>
      <c r="BJ195" s="275" t="str">
        <f t="shared" ca="1" si="1046"/>
        <v>Да</v>
      </c>
      <c r="BK195" s="116">
        <f t="shared" ca="1" si="1155"/>
        <v>0.8</v>
      </c>
      <c r="BL195" s="117">
        <f t="shared" ca="1" si="1155"/>
        <v>0.9</v>
      </c>
      <c r="BM195" s="117">
        <f t="shared" ca="1" si="1155"/>
        <v>1</v>
      </c>
      <c r="BN195" s="117">
        <f t="shared" ca="1" si="1155"/>
        <v>1</v>
      </c>
      <c r="BO195" s="117">
        <f t="shared" ca="1" si="1155"/>
        <v>1</v>
      </c>
      <c r="BP195" s="117">
        <f t="shared" ca="1" si="1155"/>
        <v>1</v>
      </c>
      <c r="BQ195" s="117">
        <f t="shared" ca="1" si="1155"/>
        <v>0.9</v>
      </c>
      <c r="BR195" s="117">
        <f t="shared" ca="1" si="1155"/>
        <v>0.9</v>
      </c>
      <c r="BS195" s="117">
        <f t="shared" ca="1" si="1155"/>
        <v>1.3</v>
      </c>
      <c r="BT195" s="117">
        <f t="shared" ca="1" si="1155"/>
        <v>1.3</v>
      </c>
      <c r="BU195" s="117">
        <f t="shared" ca="1" si="1155"/>
        <v>1.3</v>
      </c>
      <c r="BV195" s="278">
        <f t="shared" ca="1" si="1155"/>
        <v>1.3</v>
      </c>
      <c r="BW195" s="280">
        <f t="shared" si="1076"/>
        <v>19</v>
      </c>
      <c r="BX195" s="118">
        <f>IF($AN195="Ya",100%,100%+extraDelayZ)</f>
        <v>1</v>
      </c>
      <c r="BY195" s="263">
        <f t="shared" si="1048"/>
        <v>1</v>
      </c>
      <c r="BZ195" s="264">
        <f t="shared" si="1049"/>
        <v>1</v>
      </c>
      <c r="CA195" s="264">
        <f t="shared" si="1050"/>
        <v>1</v>
      </c>
      <c r="CB195" s="264">
        <f t="shared" si="1051"/>
        <v>1</v>
      </c>
      <c r="CC195" s="264">
        <f t="shared" si="1052"/>
        <v>1</v>
      </c>
      <c r="CD195" s="264">
        <f t="shared" si="1053"/>
        <v>1</v>
      </c>
      <c r="CE195" s="264">
        <f t="shared" si="1054"/>
        <v>1</v>
      </c>
      <c r="CF195" s="264">
        <f t="shared" si="1055"/>
        <v>1</v>
      </c>
      <c r="CG195" s="264">
        <f t="shared" si="1056"/>
        <v>1</v>
      </c>
      <c r="CH195" s="264">
        <f t="shared" si="1057"/>
        <v>1</v>
      </c>
      <c r="CI195" s="264">
        <f t="shared" si="1058"/>
        <v>1</v>
      </c>
      <c r="CJ195" s="265">
        <f t="shared" si="1059"/>
        <v>1</v>
      </c>
      <c r="CK195" s="269">
        <f t="array" ref="CK195">IF(ISERROR(SUM($K195:$V195*$BY195:$CJ195)/SUM($K195:$V195)),1,SUM($K195:$V195*$BY195:$CJ195)/SUM($K195:$V195))-1</f>
        <v>0</v>
      </c>
      <c r="CL195" s="234"/>
    </row>
    <row r="196" spans="1:90" ht="12.75" hidden="1" outlineLevel="1" x14ac:dyDescent="0.2">
      <c r="B196" s="404" t="str">
        <f t="shared" ca="1" si="1027"/>
        <v>RiaRealty.ru, 1000x270, статика</v>
      </c>
      <c r="C196" s="649" t="str">
        <f t="shared" ca="1" si="1028"/>
        <v>Нед</v>
      </c>
      <c r="D196" s="405">
        <f t="shared" ca="1" si="1029"/>
        <v>500</v>
      </c>
      <c r="E196" s="405">
        <f t="shared" ca="1" si="1030"/>
        <v>500</v>
      </c>
      <c r="F196" s="405">
        <f t="shared" ca="1" si="1031"/>
        <v>500</v>
      </c>
      <c r="G196" s="406">
        <f t="shared" ca="1" si="1032"/>
        <v>250000</v>
      </c>
      <c r="H196" s="406">
        <f t="shared" ca="1" si="1033"/>
        <v>250000</v>
      </c>
      <c r="I196" s="406">
        <f t="shared" ca="1" si="1034"/>
        <v>0</v>
      </c>
      <c r="J196" s="407">
        <f t="shared" ca="1" si="1035"/>
        <v>0</v>
      </c>
      <c r="K196" s="408"/>
      <c r="L196" s="409"/>
      <c r="M196" s="409"/>
      <c r="N196" s="409"/>
      <c r="O196" s="409"/>
      <c r="P196" s="409"/>
      <c r="Q196" s="409"/>
      <c r="R196" s="409"/>
      <c r="S196" s="409"/>
      <c r="T196" s="409"/>
      <c r="U196" s="409"/>
      <c r="V196" s="410"/>
      <c r="W196" s="406">
        <f t="shared" ca="1" si="1060"/>
        <v>0</v>
      </c>
      <c r="X196" s="406"/>
      <c r="Y196" s="411"/>
      <c r="Z196" s="412">
        <f t="shared" si="1036"/>
        <v>0</v>
      </c>
      <c r="AA196" s="413"/>
      <c r="AB196" s="413"/>
      <c r="AC196" s="413"/>
      <c r="AD196" s="413"/>
      <c r="AE196" s="413"/>
      <c r="AF196" s="413"/>
      <c r="AG196" s="413"/>
      <c r="AH196" s="413"/>
      <c r="AI196" s="413"/>
      <c r="AJ196" s="413"/>
      <c r="AK196" s="413"/>
      <c r="AL196" s="413"/>
      <c r="AM196" s="572"/>
      <c r="AN196" s="351" t="s">
        <v>129</v>
      </c>
      <c r="AO196" s="351" t="str">
        <f t="shared" si="1074"/>
        <v>RIA.ru</v>
      </c>
      <c r="AP196" s="115">
        <f t="shared" si="883"/>
        <v>29</v>
      </c>
      <c r="AQ196" s="31" t="str">
        <f t="shared" ca="1" si="1037"/>
        <v>-</v>
      </c>
      <c r="AR196" s="31" t="str">
        <f t="shared" ca="1" si="1037"/>
        <v>-</v>
      </c>
      <c r="AS196" s="35">
        <v>0</v>
      </c>
      <c r="AT196" s="229">
        <v>0</v>
      </c>
      <c r="AU196" s="344">
        <f t="shared" ca="1" si="1038"/>
        <v>500</v>
      </c>
      <c r="AV196" s="345">
        <f t="shared" ca="1" si="1039"/>
        <v>500</v>
      </c>
      <c r="AW196" s="346">
        <f t="shared" ca="1" si="1040"/>
        <v>500</v>
      </c>
      <c r="AX196" s="280"/>
      <c r="AY196" s="280"/>
      <c r="AZ196" s="347">
        <f t="shared" ca="1" si="1041"/>
        <v>250000</v>
      </c>
      <c r="BA196" s="348">
        <f t="shared" ca="1" si="1042"/>
        <v>250000</v>
      </c>
      <c r="BB196" s="347">
        <f t="shared" ca="1" si="1043"/>
        <v>500</v>
      </c>
      <c r="BC196" s="37" t="str">
        <f t="shared" ca="1" si="1043"/>
        <v>Неделя</v>
      </c>
      <c r="BD196" s="229" t="str">
        <f t="shared" ca="1" si="1044"/>
        <v>Нед</v>
      </c>
      <c r="BE196" s="283">
        <f t="shared" ca="1" si="1075"/>
        <v>0</v>
      </c>
      <c r="BF196" s="347">
        <f t="array" aca="1" ref="BF196" ca="1">SUM($K196:$V196*$BK196:$BV196)*$AZ196</f>
        <v>0</v>
      </c>
      <c r="BG196" s="347">
        <f t="array" aca="1" ref="BG196" ca="1">SUM($K196:$V196*$BY196:$CJ196*$BK196:$BV196)*$AZ196*$BX196</f>
        <v>0</v>
      </c>
      <c r="BH196" s="347">
        <f t="array" aca="1" ref="BH196" ca="1">SUM($K196:$V196*$BY196:$CJ196*$BK196:$BV196)*(1-$BE196)*$AZ196*$BX196</f>
        <v>0</v>
      </c>
      <c r="BI196" s="350">
        <f t="shared" ca="1" si="1045"/>
        <v>0</v>
      </c>
      <c r="BJ196" s="275" t="str">
        <f t="shared" ca="1" si="1046"/>
        <v>Да</v>
      </c>
      <c r="BK196" s="116">
        <f t="shared" ca="1" si="1155"/>
        <v>0.8</v>
      </c>
      <c r="BL196" s="117">
        <f t="shared" ca="1" si="1155"/>
        <v>0.9</v>
      </c>
      <c r="BM196" s="117">
        <f t="shared" ca="1" si="1155"/>
        <v>1</v>
      </c>
      <c r="BN196" s="117">
        <f t="shared" ca="1" si="1155"/>
        <v>1</v>
      </c>
      <c r="BO196" s="117">
        <f t="shared" ca="1" si="1155"/>
        <v>1</v>
      </c>
      <c r="BP196" s="117">
        <f t="shared" ca="1" si="1155"/>
        <v>1</v>
      </c>
      <c r="BQ196" s="117">
        <f t="shared" ca="1" si="1155"/>
        <v>0.9</v>
      </c>
      <c r="BR196" s="117">
        <f t="shared" ca="1" si="1155"/>
        <v>0.9</v>
      </c>
      <c r="BS196" s="117">
        <f t="shared" ca="1" si="1155"/>
        <v>1.3</v>
      </c>
      <c r="BT196" s="117">
        <f t="shared" ca="1" si="1155"/>
        <v>1.3</v>
      </c>
      <c r="BU196" s="117">
        <f t="shared" ca="1" si="1155"/>
        <v>1.3</v>
      </c>
      <c r="BV196" s="278">
        <f t="shared" ca="1" si="1155"/>
        <v>1.3</v>
      </c>
      <c r="BW196" s="280">
        <f t="shared" si="1076"/>
        <v>20</v>
      </c>
      <c r="BX196" s="118">
        <f>IF($AN196="Ya",100%,100%+extraDelayZ)</f>
        <v>1</v>
      </c>
      <c r="BY196" s="263">
        <f t="shared" si="1048"/>
        <v>1</v>
      </c>
      <c r="BZ196" s="264">
        <f t="shared" si="1049"/>
        <v>1</v>
      </c>
      <c r="CA196" s="264">
        <f t="shared" si="1050"/>
        <v>1</v>
      </c>
      <c r="CB196" s="264">
        <f t="shared" si="1051"/>
        <v>1</v>
      </c>
      <c r="CC196" s="264">
        <f t="shared" si="1052"/>
        <v>1</v>
      </c>
      <c r="CD196" s="264">
        <f t="shared" si="1053"/>
        <v>1</v>
      </c>
      <c r="CE196" s="264">
        <f t="shared" si="1054"/>
        <v>1</v>
      </c>
      <c r="CF196" s="264">
        <f t="shared" si="1055"/>
        <v>1</v>
      </c>
      <c r="CG196" s="264">
        <f t="shared" si="1056"/>
        <v>1</v>
      </c>
      <c r="CH196" s="264">
        <f t="shared" si="1057"/>
        <v>1</v>
      </c>
      <c r="CI196" s="264">
        <f t="shared" si="1058"/>
        <v>1</v>
      </c>
      <c r="CJ196" s="265">
        <f t="shared" si="1059"/>
        <v>1</v>
      </c>
      <c r="CK196" s="269">
        <f t="array" ref="CK196">IF(ISERROR(SUM($K196:$V196*$BY196:$CJ196)/SUM($K196:$V196)),1,SUM($K196:$V196*$BY196:$CJ196)/SUM($K196:$V196))-1</f>
        <v>0</v>
      </c>
      <c r="CL196" s="234"/>
    </row>
    <row r="197" spans="1:90" ht="12.75" hidden="1" outlineLevel="1" x14ac:dyDescent="0.2">
      <c r="B197" s="404" t="str">
        <f t="shared" ca="1" si="1027"/>
        <v>Все страницы Inosmi.ru, 240x400</v>
      </c>
      <c r="C197" s="649" t="str">
        <f t="shared" ca="1" si="1028"/>
        <v>х1000</v>
      </c>
      <c r="D197" s="405">
        <f t="shared" ca="1" si="1029"/>
        <v>550</v>
      </c>
      <c r="E197" s="405">
        <f t="shared" ca="1" si="1030"/>
        <v>550</v>
      </c>
      <c r="F197" s="405">
        <f t="shared" ca="1" si="1031"/>
        <v>550</v>
      </c>
      <c r="G197" s="406">
        <f t="shared" ca="1" si="1032"/>
        <v>550</v>
      </c>
      <c r="H197" s="406">
        <f t="shared" ca="1" si="1033"/>
        <v>550</v>
      </c>
      <c r="I197" s="406">
        <f t="shared" ca="1" si="1034"/>
        <v>0</v>
      </c>
      <c r="J197" s="407">
        <f t="shared" ca="1" si="1035"/>
        <v>0</v>
      </c>
      <c r="K197" s="408"/>
      <c r="L197" s="409"/>
      <c r="M197" s="409"/>
      <c r="N197" s="409"/>
      <c r="O197" s="409"/>
      <c r="P197" s="409"/>
      <c r="Q197" s="409"/>
      <c r="R197" s="409"/>
      <c r="S197" s="409"/>
      <c r="T197" s="409"/>
      <c r="U197" s="409"/>
      <c r="V197" s="410"/>
      <c r="W197" s="406">
        <f t="shared" ca="1" si="1060"/>
        <v>0</v>
      </c>
      <c r="X197" s="406"/>
      <c r="Y197" s="411"/>
      <c r="Z197" s="412">
        <f t="shared" si="1036"/>
        <v>0</v>
      </c>
      <c r="AA197" s="413"/>
      <c r="AB197" s="413"/>
      <c r="AC197" s="413"/>
      <c r="AD197" s="413"/>
      <c r="AE197" s="413"/>
      <c r="AF197" s="413"/>
      <c r="AG197" s="413"/>
      <c r="AH197" s="413"/>
      <c r="AI197" s="413"/>
      <c r="AJ197" s="413"/>
      <c r="AK197" s="413"/>
      <c r="AL197" s="413"/>
      <c r="AM197" s="572"/>
      <c r="AN197" s="351" t="s">
        <v>129</v>
      </c>
      <c r="AO197" s="351" t="str">
        <f t="shared" si="1074"/>
        <v>RIA.ru</v>
      </c>
      <c r="AP197" s="115">
        <f t="shared" si="883"/>
        <v>29</v>
      </c>
      <c r="AQ197" s="31">
        <f t="shared" ca="1" si="1037"/>
        <v>0.25</v>
      </c>
      <c r="AR197" s="31">
        <f t="shared" ca="1" si="1037"/>
        <v>0</v>
      </c>
      <c r="AS197" s="35">
        <v>0</v>
      </c>
      <c r="AT197" s="229">
        <v>0</v>
      </c>
      <c r="AU197" s="344">
        <f t="shared" ca="1" si="1038"/>
        <v>550</v>
      </c>
      <c r="AV197" s="345">
        <f t="shared" ca="1" si="1039"/>
        <v>550</v>
      </c>
      <c r="AW197" s="346">
        <f t="shared" ca="1" si="1040"/>
        <v>550</v>
      </c>
      <c r="AX197" s="280"/>
      <c r="AY197" s="280"/>
      <c r="AZ197" s="347">
        <f t="shared" ca="1" si="1041"/>
        <v>550</v>
      </c>
      <c r="BA197" s="348">
        <f t="shared" ca="1" si="1042"/>
        <v>550</v>
      </c>
      <c r="BB197" s="347">
        <f t="shared" ca="1" si="1043"/>
        <v>1</v>
      </c>
      <c r="BC197" s="37" t="str">
        <f t="shared" ca="1" si="1043"/>
        <v>1000 контактов</v>
      </c>
      <c r="BD197" s="229" t="str">
        <f t="shared" ca="1" si="1044"/>
        <v>х1000</v>
      </c>
      <c r="BE197" s="283">
        <f t="shared" ca="1" si="1075"/>
        <v>0</v>
      </c>
      <c r="BF197" s="347">
        <f t="array" aca="1" ref="BF197" ca="1">SUM($K197:$V197*$BK197:$BV197)*$AZ197</f>
        <v>0</v>
      </c>
      <c r="BG197" s="347">
        <f t="array" aca="1" ref="BG197" ca="1">SUM($K197:$V197*$BY197:$CJ197*$BK197:$BV197)*$AZ197*$BX197</f>
        <v>0</v>
      </c>
      <c r="BH197" s="347">
        <f t="array" aca="1" ref="BH197" ca="1">SUM($K197:$V197*$BY197:$CJ197*$BK197:$BV197)*(1-$BE197)*$AZ197*$BX197</f>
        <v>0</v>
      </c>
      <c r="BI197" s="350">
        <f t="shared" ca="1" si="1045"/>
        <v>0</v>
      </c>
      <c r="BJ197" s="275" t="str">
        <f t="shared" ca="1" si="1046"/>
        <v>Да</v>
      </c>
      <c r="BK197" s="116">
        <f t="shared" ca="1" si="1155"/>
        <v>0.8</v>
      </c>
      <c r="BL197" s="117">
        <f t="shared" ca="1" si="1155"/>
        <v>0.9</v>
      </c>
      <c r="BM197" s="117">
        <f t="shared" ca="1" si="1155"/>
        <v>1</v>
      </c>
      <c r="BN197" s="117">
        <f t="shared" ca="1" si="1155"/>
        <v>1</v>
      </c>
      <c r="BO197" s="117">
        <f t="shared" ca="1" si="1155"/>
        <v>1</v>
      </c>
      <c r="BP197" s="117">
        <f t="shared" ca="1" si="1155"/>
        <v>1</v>
      </c>
      <c r="BQ197" s="117">
        <f t="shared" ca="1" si="1155"/>
        <v>0.9</v>
      </c>
      <c r="BR197" s="117">
        <f t="shared" ca="1" si="1155"/>
        <v>0.9</v>
      </c>
      <c r="BS197" s="117">
        <f t="shared" ca="1" si="1155"/>
        <v>1.3</v>
      </c>
      <c r="BT197" s="117">
        <f t="shared" ca="1" si="1155"/>
        <v>1.3</v>
      </c>
      <c r="BU197" s="117">
        <f t="shared" ca="1" si="1155"/>
        <v>1.3</v>
      </c>
      <c r="BV197" s="278">
        <f t="shared" ca="1" si="1155"/>
        <v>1.3</v>
      </c>
      <c r="BW197" s="280">
        <f t="shared" si="1076"/>
        <v>21</v>
      </c>
      <c r="BX197" s="118">
        <f>IF($AN197="Ya",100%,100%+extraDelayZ)</f>
        <v>1</v>
      </c>
      <c r="BY197" s="263">
        <f t="shared" si="1048"/>
        <v>1</v>
      </c>
      <c r="BZ197" s="264">
        <f t="shared" si="1049"/>
        <v>1</v>
      </c>
      <c r="CA197" s="264">
        <f t="shared" si="1050"/>
        <v>1</v>
      </c>
      <c r="CB197" s="264">
        <f t="shared" si="1051"/>
        <v>1</v>
      </c>
      <c r="CC197" s="264">
        <f t="shared" si="1052"/>
        <v>1</v>
      </c>
      <c r="CD197" s="264">
        <f t="shared" si="1053"/>
        <v>1</v>
      </c>
      <c r="CE197" s="264">
        <f t="shared" si="1054"/>
        <v>1</v>
      </c>
      <c r="CF197" s="264">
        <f t="shared" si="1055"/>
        <v>1</v>
      </c>
      <c r="CG197" s="264">
        <f t="shared" si="1056"/>
        <v>1</v>
      </c>
      <c r="CH197" s="264">
        <f t="shared" si="1057"/>
        <v>1</v>
      </c>
      <c r="CI197" s="264">
        <f t="shared" si="1058"/>
        <v>1</v>
      </c>
      <c r="CJ197" s="265">
        <f t="shared" si="1059"/>
        <v>1</v>
      </c>
      <c r="CK197" s="269">
        <f t="array" ref="CK197">IF(ISERROR(SUM($K197:$V197*$BY197:$CJ197)/SUM($K197:$V197)),1,SUM($K197:$V197*$BY197:$CJ197)/SUM($K197:$V197))-1</f>
        <v>0</v>
      </c>
      <c r="CL197" s="234"/>
    </row>
    <row r="198" spans="1:90" ht="12.75" hidden="1" outlineLevel="1" x14ac:dyDescent="0.2">
      <c r="B198" s="404" t="str">
        <f t="shared" ca="1" si="1027"/>
        <v>Все страницы Inosmi.ru, 950x90</v>
      </c>
      <c r="C198" s="649" t="str">
        <f t="shared" ca="1" si="1028"/>
        <v>х1000</v>
      </c>
      <c r="D198" s="405">
        <f t="shared" ca="1" si="1029"/>
        <v>350</v>
      </c>
      <c r="E198" s="405">
        <f t="shared" ca="1" si="1030"/>
        <v>350</v>
      </c>
      <c r="F198" s="405">
        <f t="shared" ca="1" si="1031"/>
        <v>350</v>
      </c>
      <c r="G198" s="406">
        <f t="shared" ca="1" si="1032"/>
        <v>350</v>
      </c>
      <c r="H198" s="406">
        <f t="shared" ca="1" si="1033"/>
        <v>350</v>
      </c>
      <c r="I198" s="406">
        <f t="shared" ca="1" si="1034"/>
        <v>0</v>
      </c>
      <c r="J198" s="407">
        <f t="shared" ca="1" si="1035"/>
        <v>0</v>
      </c>
      <c r="K198" s="408"/>
      <c r="L198" s="409"/>
      <c r="M198" s="409"/>
      <c r="N198" s="409"/>
      <c r="O198" s="409"/>
      <c r="P198" s="409"/>
      <c r="Q198" s="409"/>
      <c r="R198" s="409"/>
      <c r="S198" s="409"/>
      <c r="T198" s="409"/>
      <c r="U198" s="409"/>
      <c r="V198" s="410"/>
      <c r="W198" s="406">
        <f t="shared" ca="1" si="1060"/>
        <v>0</v>
      </c>
      <c r="X198" s="406"/>
      <c r="Y198" s="411"/>
      <c r="Z198" s="412">
        <f t="shared" si="1036"/>
        <v>0</v>
      </c>
      <c r="AA198" s="413"/>
      <c r="AB198" s="413"/>
      <c r="AC198" s="413"/>
      <c r="AD198" s="413"/>
      <c r="AE198" s="413"/>
      <c r="AF198" s="413"/>
      <c r="AG198" s="413"/>
      <c r="AH198" s="413"/>
      <c r="AI198" s="413"/>
      <c r="AJ198" s="413"/>
      <c r="AK198" s="413"/>
      <c r="AL198" s="413"/>
      <c r="AM198" s="572"/>
      <c r="AN198" s="351" t="s">
        <v>129</v>
      </c>
      <c r="AO198" s="351" t="str">
        <f t="shared" si="1074"/>
        <v>RIA.ru</v>
      </c>
      <c r="AP198" s="115">
        <f t="shared" si="883"/>
        <v>29</v>
      </c>
      <c r="AQ198" s="31">
        <f t="shared" ca="1" si="1037"/>
        <v>0.25</v>
      </c>
      <c r="AR198" s="31">
        <f t="shared" ca="1" si="1037"/>
        <v>0</v>
      </c>
      <c r="AS198" s="35">
        <v>0</v>
      </c>
      <c r="AT198" s="229">
        <v>0</v>
      </c>
      <c r="AU198" s="344">
        <f t="shared" ca="1" si="1038"/>
        <v>350</v>
      </c>
      <c r="AV198" s="345">
        <f t="shared" ca="1" si="1039"/>
        <v>350</v>
      </c>
      <c r="AW198" s="346">
        <f t="shared" ca="1" si="1040"/>
        <v>350</v>
      </c>
      <c r="AX198" s="280"/>
      <c r="AY198" s="280"/>
      <c r="AZ198" s="347">
        <f t="shared" ca="1" si="1041"/>
        <v>350</v>
      </c>
      <c r="BA198" s="348">
        <f t="shared" ca="1" si="1042"/>
        <v>350</v>
      </c>
      <c r="BB198" s="347">
        <f t="shared" ca="1" si="1043"/>
        <v>1</v>
      </c>
      <c r="BC198" s="37" t="str">
        <f t="shared" ca="1" si="1043"/>
        <v>1000 контактов</v>
      </c>
      <c r="BD198" s="229" t="str">
        <f t="shared" ca="1" si="1044"/>
        <v>х1000</v>
      </c>
      <c r="BE198" s="283">
        <f t="shared" ca="1" si="1075"/>
        <v>0</v>
      </c>
      <c r="BF198" s="347">
        <f t="array" aca="1" ref="BF198" ca="1">SUM($K198:$V198*$BK198:$BV198)*$AZ198</f>
        <v>0</v>
      </c>
      <c r="BG198" s="347">
        <f t="array" aca="1" ref="BG198" ca="1">SUM($K198:$V198*$BY198:$CJ198*$BK198:$BV198)*$AZ198*$BX198</f>
        <v>0</v>
      </c>
      <c r="BH198" s="347">
        <f t="array" aca="1" ref="BH198" ca="1">SUM($K198:$V198*$BY198:$CJ198*$BK198:$BV198)*(1-$BE198)*$AZ198*$BX198</f>
        <v>0</v>
      </c>
      <c r="BI198" s="350">
        <f t="shared" ca="1" si="1045"/>
        <v>0</v>
      </c>
      <c r="BJ198" s="275" t="str">
        <f t="shared" ca="1" si="1046"/>
        <v>Да</v>
      </c>
      <c r="BK198" s="116">
        <f t="shared" ca="1" si="1155"/>
        <v>0.8</v>
      </c>
      <c r="BL198" s="117">
        <f t="shared" ca="1" si="1155"/>
        <v>0.9</v>
      </c>
      <c r="BM198" s="117">
        <f t="shared" ca="1" si="1155"/>
        <v>1</v>
      </c>
      <c r="BN198" s="117">
        <f t="shared" ca="1" si="1155"/>
        <v>1</v>
      </c>
      <c r="BO198" s="117">
        <f t="shared" ca="1" si="1155"/>
        <v>1</v>
      </c>
      <c r="BP198" s="117">
        <f t="shared" ca="1" si="1155"/>
        <v>1</v>
      </c>
      <c r="BQ198" s="117">
        <f t="shared" ca="1" si="1155"/>
        <v>0.9</v>
      </c>
      <c r="BR198" s="117">
        <f t="shared" ca="1" si="1155"/>
        <v>0.9</v>
      </c>
      <c r="BS198" s="117">
        <f t="shared" ca="1" si="1155"/>
        <v>1.3</v>
      </c>
      <c r="BT198" s="117">
        <f t="shared" ca="1" si="1155"/>
        <v>1.3</v>
      </c>
      <c r="BU198" s="117">
        <f t="shared" ca="1" si="1155"/>
        <v>1.3</v>
      </c>
      <c r="BV198" s="278">
        <f t="shared" ca="1" si="1155"/>
        <v>1.3</v>
      </c>
      <c r="BW198" s="280">
        <f t="shared" si="1076"/>
        <v>22</v>
      </c>
      <c r="BX198" s="118">
        <f>IF($AN198="Ya",100%,100%+extraDelayZ)</f>
        <v>1</v>
      </c>
      <c r="BY198" s="263">
        <f t="shared" si="1048"/>
        <v>1</v>
      </c>
      <c r="BZ198" s="264">
        <f t="shared" si="1049"/>
        <v>1</v>
      </c>
      <c r="CA198" s="264">
        <f t="shared" si="1050"/>
        <v>1</v>
      </c>
      <c r="CB198" s="264">
        <f t="shared" si="1051"/>
        <v>1</v>
      </c>
      <c r="CC198" s="264">
        <f t="shared" si="1052"/>
        <v>1</v>
      </c>
      <c r="CD198" s="264">
        <f t="shared" si="1053"/>
        <v>1</v>
      </c>
      <c r="CE198" s="264">
        <f t="shared" si="1054"/>
        <v>1</v>
      </c>
      <c r="CF198" s="264">
        <f t="shared" si="1055"/>
        <v>1</v>
      </c>
      <c r="CG198" s="264">
        <f t="shared" si="1056"/>
        <v>1</v>
      </c>
      <c r="CH198" s="264">
        <f t="shared" si="1057"/>
        <v>1</v>
      </c>
      <c r="CI198" s="264">
        <f t="shared" si="1058"/>
        <v>1</v>
      </c>
      <c r="CJ198" s="265">
        <f t="shared" si="1059"/>
        <v>1</v>
      </c>
      <c r="CK198" s="269">
        <f t="array" ref="CK198">IF(ISERROR(SUM($K198:$V198*$BY198:$CJ198)/SUM($K198:$V198)),1,SUM($K198:$V198*$BY198:$CJ198)/SUM($K198:$V198))-1</f>
        <v>0</v>
      </c>
      <c r="CL198" s="234"/>
    </row>
    <row r="199" spans="1:90" ht="12.75" hidden="1" outlineLevel="1" x14ac:dyDescent="0.2">
      <c r="B199" s="404" t="str">
        <f t="shared" ca="1" si="1027"/>
        <v>Все страницы Inosmi.ru, 950x270</v>
      </c>
      <c r="C199" s="649" t="str">
        <f t="shared" ca="1" si="1028"/>
        <v>х1000</v>
      </c>
      <c r="D199" s="405">
        <f t="shared" ca="1" si="1029"/>
        <v>700</v>
      </c>
      <c r="E199" s="405">
        <f t="shared" ca="1" si="1030"/>
        <v>700</v>
      </c>
      <c r="F199" s="405">
        <f t="shared" ca="1" si="1031"/>
        <v>700</v>
      </c>
      <c r="G199" s="406">
        <f t="shared" ca="1" si="1032"/>
        <v>700</v>
      </c>
      <c r="H199" s="406">
        <f t="shared" ca="1" si="1033"/>
        <v>700</v>
      </c>
      <c r="I199" s="406">
        <f t="shared" ca="1" si="1034"/>
        <v>0</v>
      </c>
      <c r="J199" s="407">
        <f t="shared" ca="1" si="1035"/>
        <v>0</v>
      </c>
      <c r="K199" s="408"/>
      <c r="L199" s="409"/>
      <c r="M199" s="409"/>
      <c r="N199" s="409"/>
      <c r="O199" s="409"/>
      <c r="P199" s="409"/>
      <c r="Q199" s="409"/>
      <c r="R199" s="409"/>
      <c r="S199" s="409"/>
      <c r="T199" s="409"/>
      <c r="U199" s="409"/>
      <c r="V199" s="410"/>
      <c r="W199" s="406">
        <f t="shared" ca="1" si="1060"/>
        <v>0</v>
      </c>
      <c r="X199" s="406"/>
      <c r="Y199" s="411"/>
      <c r="Z199" s="412">
        <f t="shared" si="1036"/>
        <v>0</v>
      </c>
      <c r="AA199" s="413"/>
      <c r="AB199" s="413"/>
      <c r="AC199" s="413"/>
      <c r="AD199" s="413"/>
      <c r="AE199" s="413"/>
      <c r="AF199" s="413"/>
      <c r="AG199" s="413"/>
      <c r="AH199" s="413"/>
      <c r="AI199" s="413"/>
      <c r="AJ199" s="413"/>
      <c r="AK199" s="413"/>
      <c r="AL199" s="413"/>
      <c r="AM199" s="572"/>
      <c r="AN199" s="351" t="s">
        <v>129</v>
      </c>
      <c r="AO199" s="351" t="str">
        <f t="shared" si="1074"/>
        <v>RIA.ru</v>
      </c>
      <c r="AP199" s="115">
        <f t="shared" si="883"/>
        <v>29</v>
      </c>
      <c r="AQ199" s="31">
        <f t="shared" ca="1" si="1037"/>
        <v>0.25</v>
      </c>
      <c r="AR199" s="31" t="str">
        <f t="shared" ca="1" si="1037"/>
        <v>Вкл.</v>
      </c>
      <c r="AS199" s="35">
        <v>0</v>
      </c>
      <c r="AT199" s="229">
        <v>0</v>
      </c>
      <c r="AU199" s="344">
        <f t="shared" ca="1" si="1038"/>
        <v>700</v>
      </c>
      <c r="AV199" s="345">
        <f t="shared" ca="1" si="1039"/>
        <v>700</v>
      </c>
      <c r="AW199" s="346">
        <f t="shared" ca="1" si="1040"/>
        <v>700</v>
      </c>
      <c r="AX199" s="280"/>
      <c r="AY199" s="280"/>
      <c r="AZ199" s="347">
        <f t="shared" ca="1" si="1041"/>
        <v>700</v>
      </c>
      <c r="BA199" s="348">
        <f t="shared" ca="1" si="1042"/>
        <v>700</v>
      </c>
      <c r="BB199" s="347">
        <f t="shared" ca="1" si="1043"/>
        <v>1</v>
      </c>
      <c r="BC199" s="37" t="str">
        <f t="shared" ca="1" si="1043"/>
        <v>1000 контактов</v>
      </c>
      <c r="BD199" s="229" t="str">
        <f t="shared" ca="1" si="1044"/>
        <v>х1000</v>
      </c>
      <c r="BE199" s="283">
        <f t="shared" ca="1" si="1075"/>
        <v>0</v>
      </c>
      <c r="BF199" s="347">
        <f t="array" aca="1" ref="BF199" ca="1">SUM($K199:$V199*$BK199:$BV199)*$AZ199</f>
        <v>0</v>
      </c>
      <c r="BG199" s="347">
        <f t="array" aca="1" ref="BG199" ca="1">SUM($K199:$V199*$BY199:$CJ199*$BK199:$BV199)*$AZ199*$BX199</f>
        <v>0</v>
      </c>
      <c r="BH199" s="347">
        <f t="array" aca="1" ref="BH199" ca="1">SUM($K199:$V199*$BY199:$CJ199*$BK199:$BV199)*(1-$BE199)*$AZ199*$BX199</f>
        <v>0</v>
      </c>
      <c r="BI199" s="350">
        <f t="shared" ca="1" si="1045"/>
        <v>0</v>
      </c>
      <c r="BJ199" s="275" t="str">
        <f t="shared" ca="1" si="1046"/>
        <v>Да</v>
      </c>
      <c r="BK199" s="116">
        <f t="shared" ca="1" si="1155"/>
        <v>0.8</v>
      </c>
      <c r="BL199" s="117">
        <f t="shared" ca="1" si="1155"/>
        <v>0.9</v>
      </c>
      <c r="BM199" s="117">
        <f t="shared" ca="1" si="1155"/>
        <v>1</v>
      </c>
      <c r="BN199" s="117">
        <f t="shared" ca="1" si="1155"/>
        <v>1</v>
      </c>
      <c r="BO199" s="117">
        <f t="shared" ca="1" si="1155"/>
        <v>1</v>
      </c>
      <c r="BP199" s="117">
        <f t="shared" ca="1" si="1155"/>
        <v>1</v>
      </c>
      <c r="BQ199" s="117">
        <f t="shared" ca="1" si="1155"/>
        <v>0.9</v>
      </c>
      <c r="BR199" s="117">
        <f t="shared" ca="1" si="1155"/>
        <v>0.9</v>
      </c>
      <c r="BS199" s="117">
        <f t="shared" ca="1" si="1155"/>
        <v>1.3</v>
      </c>
      <c r="BT199" s="117">
        <f t="shared" ca="1" si="1155"/>
        <v>1.3</v>
      </c>
      <c r="BU199" s="117">
        <f t="shared" ca="1" si="1155"/>
        <v>1.3</v>
      </c>
      <c r="BV199" s="278">
        <f t="shared" ca="1" si="1155"/>
        <v>1.3</v>
      </c>
      <c r="BW199" s="280">
        <f t="shared" si="1076"/>
        <v>23</v>
      </c>
      <c r="BX199" s="118">
        <f>IF($AN199="Ya",100%,100%+extraDelayZ)</f>
        <v>1</v>
      </c>
      <c r="BY199" s="263">
        <f t="shared" si="1048"/>
        <v>1</v>
      </c>
      <c r="BZ199" s="264">
        <f t="shared" si="1049"/>
        <v>1</v>
      </c>
      <c r="CA199" s="264">
        <f t="shared" si="1050"/>
        <v>1</v>
      </c>
      <c r="CB199" s="264">
        <f t="shared" si="1051"/>
        <v>1</v>
      </c>
      <c r="CC199" s="264">
        <f t="shared" si="1052"/>
        <v>1</v>
      </c>
      <c r="CD199" s="264">
        <f t="shared" si="1053"/>
        <v>1</v>
      </c>
      <c r="CE199" s="264">
        <f t="shared" si="1054"/>
        <v>1</v>
      </c>
      <c r="CF199" s="264">
        <f t="shared" si="1055"/>
        <v>1</v>
      </c>
      <c r="CG199" s="264">
        <f t="shared" si="1056"/>
        <v>1</v>
      </c>
      <c r="CH199" s="264">
        <f t="shared" si="1057"/>
        <v>1</v>
      </c>
      <c r="CI199" s="264">
        <f t="shared" si="1058"/>
        <v>1</v>
      </c>
      <c r="CJ199" s="265">
        <f t="shared" si="1059"/>
        <v>1</v>
      </c>
      <c r="CK199" s="269">
        <f t="array" ref="CK199">IF(ISERROR(SUM($K199:$V199*$BY199:$CJ199)/SUM($K199:$V199)),1,SUM($K199:$V199*$BY199:$CJ199)/SUM($K199:$V199))-1</f>
        <v>0</v>
      </c>
      <c r="CL199" s="234"/>
    </row>
    <row r="200" spans="1:90" ht="12.75" hidden="1" outlineLevel="1" x14ac:dyDescent="0.2">
      <c r="B200" s="404" t="str">
        <f t="shared" ca="1" si="1027"/>
        <v>Inosmi.ru, Пакет "Охват 1000К", 240x400</v>
      </c>
      <c r="C200" s="649" t="str">
        <f t="shared" ca="1" si="1028"/>
        <v>Пакет</v>
      </c>
      <c r="D200" s="405">
        <f t="shared" ca="1" si="1029"/>
        <v>400</v>
      </c>
      <c r="E200" s="405">
        <f t="shared" ca="1" si="1030"/>
        <v>400</v>
      </c>
      <c r="F200" s="405">
        <f t="shared" ca="1" si="1031"/>
        <v>400</v>
      </c>
      <c r="G200" s="406">
        <f t="shared" ca="1" si="1032"/>
        <v>400000</v>
      </c>
      <c r="H200" s="406">
        <f t="shared" ca="1" si="1033"/>
        <v>400000</v>
      </c>
      <c r="I200" s="406">
        <f t="shared" ca="1" si="1034"/>
        <v>0</v>
      </c>
      <c r="J200" s="407">
        <f t="shared" ca="1" si="1035"/>
        <v>0</v>
      </c>
      <c r="K200" s="408"/>
      <c r="L200" s="409"/>
      <c r="M200" s="409"/>
      <c r="N200" s="409"/>
      <c r="O200" s="409"/>
      <c r="P200" s="409"/>
      <c r="Q200" s="409"/>
      <c r="R200" s="409"/>
      <c r="S200" s="409"/>
      <c r="T200" s="409"/>
      <c r="U200" s="409"/>
      <c r="V200" s="410"/>
      <c r="W200" s="406">
        <f t="shared" ca="1" si="1060"/>
        <v>0</v>
      </c>
      <c r="X200" s="406"/>
      <c r="Y200" s="411"/>
      <c r="Z200" s="412">
        <f t="shared" si="1036"/>
        <v>0</v>
      </c>
      <c r="AA200" s="413"/>
      <c r="AB200" s="413"/>
      <c r="AC200" s="413"/>
      <c r="AD200" s="413"/>
      <c r="AE200" s="413"/>
      <c r="AF200" s="413"/>
      <c r="AG200" s="413"/>
      <c r="AH200" s="413"/>
      <c r="AI200" s="413"/>
      <c r="AJ200" s="413"/>
      <c r="AK200" s="413"/>
      <c r="AL200" s="413"/>
      <c r="AM200" s="572"/>
      <c r="AN200" s="351" t="s">
        <v>129</v>
      </c>
      <c r="AO200" s="351" t="str">
        <f t="shared" si="1074"/>
        <v>RIA.ru</v>
      </c>
      <c r="AP200" s="115">
        <f t="shared" si="883"/>
        <v>29</v>
      </c>
      <c r="AQ200" s="31" t="str">
        <f t="shared" ca="1" si="1037"/>
        <v>-</v>
      </c>
      <c r="AR200" s="31" t="str">
        <f t="shared" ca="1" si="1037"/>
        <v>-</v>
      </c>
      <c r="AS200" s="35">
        <v>0</v>
      </c>
      <c r="AT200" s="229">
        <v>0</v>
      </c>
      <c r="AU200" s="344">
        <f t="shared" ca="1" si="1038"/>
        <v>400</v>
      </c>
      <c r="AV200" s="345">
        <f t="shared" ca="1" si="1039"/>
        <v>400</v>
      </c>
      <c r="AW200" s="346">
        <f t="shared" ca="1" si="1040"/>
        <v>400</v>
      </c>
      <c r="AX200" s="280"/>
      <c r="AY200" s="280"/>
      <c r="AZ200" s="347">
        <f t="shared" ca="1" si="1041"/>
        <v>400000</v>
      </c>
      <c r="BA200" s="348">
        <f t="shared" ca="1" si="1042"/>
        <v>400000</v>
      </c>
      <c r="BB200" s="347">
        <f t="shared" ca="1" si="1043"/>
        <v>1000</v>
      </c>
      <c r="BC200" s="37" t="str">
        <f t="shared" ca="1" si="1043"/>
        <v>Пакет</v>
      </c>
      <c r="BD200" s="229" t="str">
        <f t="shared" ca="1" si="1044"/>
        <v>Пакет</v>
      </c>
      <c r="BE200" s="283">
        <f t="shared" ca="1" si="1075"/>
        <v>0</v>
      </c>
      <c r="BF200" s="347">
        <f t="array" aca="1" ref="BF200" ca="1">SUM($K200:$V200*$BK200:$BV200)*$AZ200</f>
        <v>0</v>
      </c>
      <c r="BG200" s="347">
        <f t="array" aca="1" ref="BG200" ca="1">SUM($K200:$V200*$BY200:$CJ200*$BK200:$BV200)*$AZ200*$BX200</f>
        <v>0</v>
      </c>
      <c r="BH200" s="347">
        <f t="array" aca="1" ref="BH200" ca="1">SUM($K200:$V200*$BY200:$CJ200*$BK200:$BV200)*(1-$BE200)*$AZ200*$BX200</f>
        <v>0</v>
      </c>
      <c r="BI200" s="350">
        <f t="shared" ca="1" si="1045"/>
        <v>0</v>
      </c>
      <c r="BJ200" s="275" t="str">
        <f t="shared" ca="1" si="1046"/>
        <v>Да</v>
      </c>
      <c r="BK200" s="116">
        <f t="shared" ca="1" si="1155"/>
        <v>0.8</v>
      </c>
      <c r="BL200" s="117">
        <f t="shared" ca="1" si="1155"/>
        <v>0.9</v>
      </c>
      <c r="BM200" s="117">
        <f t="shared" ca="1" si="1155"/>
        <v>1</v>
      </c>
      <c r="BN200" s="117">
        <f t="shared" ca="1" si="1155"/>
        <v>1</v>
      </c>
      <c r="BO200" s="117">
        <f t="shared" ca="1" si="1155"/>
        <v>1</v>
      </c>
      <c r="BP200" s="117">
        <f t="shared" ca="1" si="1155"/>
        <v>1</v>
      </c>
      <c r="BQ200" s="117">
        <f t="shared" ca="1" si="1155"/>
        <v>0.9</v>
      </c>
      <c r="BR200" s="117">
        <f t="shared" ca="1" si="1155"/>
        <v>0.9</v>
      </c>
      <c r="BS200" s="117">
        <f t="shared" ca="1" si="1155"/>
        <v>1.3</v>
      </c>
      <c r="BT200" s="117">
        <f t="shared" ca="1" si="1155"/>
        <v>1.3</v>
      </c>
      <c r="BU200" s="117">
        <f t="shared" ca="1" si="1155"/>
        <v>1.3</v>
      </c>
      <c r="BV200" s="278">
        <f t="shared" ca="1" si="1155"/>
        <v>1.3</v>
      </c>
      <c r="BW200" s="280">
        <f t="shared" si="1076"/>
        <v>24</v>
      </c>
      <c r="BX200" s="118">
        <f>IF($AN200="Ya",100%,100%+extraDelayZ)</f>
        <v>1</v>
      </c>
      <c r="BY200" s="263">
        <f t="shared" si="1048"/>
        <v>1</v>
      </c>
      <c r="BZ200" s="264">
        <f t="shared" si="1049"/>
        <v>1</v>
      </c>
      <c r="CA200" s="264">
        <f t="shared" si="1050"/>
        <v>1</v>
      </c>
      <c r="CB200" s="264">
        <f t="shared" si="1051"/>
        <v>1</v>
      </c>
      <c r="CC200" s="264">
        <f t="shared" si="1052"/>
        <v>1</v>
      </c>
      <c r="CD200" s="264">
        <f t="shared" si="1053"/>
        <v>1</v>
      </c>
      <c r="CE200" s="264">
        <f t="shared" si="1054"/>
        <v>1</v>
      </c>
      <c r="CF200" s="264">
        <f t="shared" si="1055"/>
        <v>1</v>
      </c>
      <c r="CG200" s="264">
        <f t="shared" si="1056"/>
        <v>1</v>
      </c>
      <c r="CH200" s="264">
        <f t="shared" si="1057"/>
        <v>1</v>
      </c>
      <c r="CI200" s="264">
        <f t="shared" si="1058"/>
        <v>1</v>
      </c>
      <c r="CJ200" s="265">
        <f t="shared" si="1059"/>
        <v>1</v>
      </c>
      <c r="CK200" s="269">
        <f t="array" ref="CK200">IF(ISERROR(SUM($K200:$V200*$BY200:$CJ200)/SUM($K200:$V200)),1,SUM($K200:$V200*$BY200:$CJ200)/SUM($K200:$V200))-1</f>
        <v>0</v>
      </c>
      <c r="CL200" s="234"/>
    </row>
    <row r="201" spans="1:90" ht="12.75" hidden="1" outlineLevel="1" x14ac:dyDescent="0.2">
      <c r="B201" s="404" t="str">
        <f t="shared" ca="1" si="1027"/>
        <v>Inosmi.ru, Пакет "Охват 1000К", 1000x90</v>
      </c>
      <c r="C201" s="649" t="str">
        <f t="shared" ca="1" si="1028"/>
        <v>Пакет</v>
      </c>
      <c r="D201" s="405">
        <f t="shared" ca="1" si="1029"/>
        <v>250</v>
      </c>
      <c r="E201" s="405">
        <f t="shared" ca="1" si="1030"/>
        <v>250</v>
      </c>
      <c r="F201" s="405">
        <f t="shared" ca="1" si="1031"/>
        <v>250</v>
      </c>
      <c r="G201" s="406">
        <f t="shared" ca="1" si="1032"/>
        <v>250000</v>
      </c>
      <c r="H201" s="406">
        <f t="shared" ca="1" si="1033"/>
        <v>250000</v>
      </c>
      <c r="I201" s="406">
        <f t="shared" ca="1" si="1034"/>
        <v>0</v>
      </c>
      <c r="J201" s="407">
        <f t="shared" ca="1" si="1035"/>
        <v>0</v>
      </c>
      <c r="K201" s="408"/>
      <c r="L201" s="409"/>
      <c r="M201" s="409"/>
      <c r="N201" s="409"/>
      <c r="O201" s="409"/>
      <c r="P201" s="409"/>
      <c r="Q201" s="409"/>
      <c r="R201" s="409"/>
      <c r="S201" s="409"/>
      <c r="T201" s="409"/>
      <c r="U201" s="409"/>
      <c r="V201" s="410"/>
      <c r="W201" s="406">
        <f t="shared" ca="1" si="1060"/>
        <v>0</v>
      </c>
      <c r="X201" s="406"/>
      <c r="Y201" s="411"/>
      <c r="Z201" s="412">
        <f t="shared" si="1036"/>
        <v>0</v>
      </c>
      <c r="AA201" s="413"/>
      <c r="AB201" s="413"/>
      <c r="AC201" s="413"/>
      <c r="AD201" s="413"/>
      <c r="AE201" s="413"/>
      <c r="AF201" s="413"/>
      <c r="AG201" s="413"/>
      <c r="AH201" s="413"/>
      <c r="AI201" s="413"/>
      <c r="AJ201" s="413"/>
      <c r="AK201" s="413"/>
      <c r="AL201" s="413"/>
      <c r="AM201" s="572"/>
      <c r="AN201" s="351" t="s">
        <v>129</v>
      </c>
      <c r="AO201" s="351" t="str">
        <f t="shared" si="1074"/>
        <v>RIA.ru</v>
      </c>
      <c r="AP201" s="115">
        <f t="shared" si="883"/>
        <v>29</v>
      </c>
      <c r="AQ201" s="31" t="str">
        <f t="shared" ca="1" si="1037"/>
        <v>-</v>
      </c>
      <c r="AR201" s="31" t="str">
        <f t="shared" ca="1" si="1037"/>
        <v>-</v>
      </c>
      <c r="AS201" s="35">
        <v>0</v>
      </c>
      <c r="AT201" s="229">
        <v>0</v>
      </c>
      <c r="AU201" s="344">
        <f t="shared" ca="1" si="1038"/>
        <v>250</v>
      </c>
      <c r="AV201" s="345">
        <f t="shared" ca="1" si="1039"/>
        <v>250</v>
      </c>
      <c r="AW201" s="346">
        <f t="shared" ca="1" si="1040"/>
        <v>250</v>
      </c>
      <c r="AX201" s="280"/>
      <c r="AY201" s="280"/>
      <c r="AZ201" s="347">
        <f t="shared" ca="1" si="1041"/>
        <v>250000</v>
      </c>
      <c r="BA201" s="348">
        <f t="shared" ca="1" si="1042"/>
        <v>250000</v>
      </c>
      <c r="BB201" s="347">
        <f t="shared" ca="1" si="1043"/>
        <v>1000</v>
      </c>
      <c r="BC201" s="37" t="str">
        <f t="shared" ca="1" si="1043"/>
        <v>Пакет</v>
      </c>
      <c r="BD201" s="229" t="str">
        <f t="shared" ca="1" si="1044"/>
        <v>Пакет</v>
      </c>
      <c r="BE201" s="283">
        <f t="shared" ca="1" si="1075"/>
        <v>0</v>
      </c>
      <c r="BF201" s="347">
        <f t="array" aca="1" ref="BF201" ca="1">SUM($K201:$V201*$BK201:$BV201)*$AZ201</f>
        <v>0</v>
      </c>
      <c r="BG201" s="347">
        <f t="array" aca="1" ref="BG201" ca="1">SUM($K201:$V201*$BY201:$CJ201*$BK201:$BV201)*$AZ201*$BX201</f>
        <v>0</v>
      </c>
      <c r="BH201" s="347">
        <f t="array" aca="1" ref="BH201" ca="1">SUM($K201:$V201*$BY201:$CJ201*$BK201:$BV201)*(1-$BE201)*$AZ201*$BX201</f>
        <v>0</v>
      </c>
      <c r="BI201" s="350">
        <f t="shared" ca="1" si="1045"/>
        <v>0</v>
      </c>
      <c r="BJ201" s="275" t="str">
        <f t="shared" ca="1" si="1046"/>
        <v>Да</v>
      </c>
      <c r="BK201" s="116">
        <f t="shared" ca="1" si="1155"/>
        <v>0.8</v>
      </c>
      <c r="BL201" s="117">
        <f t="shared" ca="1" si="1155"/>
        <v>0.9</v>
      </c>
      <c r="BM201" s="117">
        <f t="shared" ca="1" si="1155"/>
        <v>1</v>
      </c>
      <c r="BN201" s="117">
        <f t="shared" ca="1" si="1155"/>
        <v>1</v>
      </c>
      <c r="BO201" s="117">
        <f t="shared" ca="1" si="1155"/>
        <v>1</v>
      </c>
      <c r="BP201" s="117">
        <f t="shared" ca="1" si="1155"/>
        <v>1</v>
      </c>
      <c r="BQ201" s="117">
        <f t="shared" ca="1" si="1155"/>
        <v>0.9</v>
      </c>
      <c r="BR201" s="117">
        <f t="shared" ca="1" si="1155"/>
        <v>0.9</v>
      </c>
      <c r="BS201" s="117">
        <f t="shared" ca="1" si="1155"/>
        <v>1.3</v>
      </c>
      <c r="BT201" s="117">
        <f t="shared" ca="1" si="1155"/>
        <v>1.3</v>
      </c>
      <c r="BU201" s="117">
        <f t="shared" ca="1" si="1155"/>
        <v>1.3</v>
      </c>
      <c r="BV201" s="278">
        <f t="shared" ca="1" si="1155"/>
        <v>1.3</v>
      </c>
      <c r="BW201" s="280">
        <f t="shared" si="1076"/>
        <v>25</v>
      </c>
      <c r="BX201" s="118">
        <f>IF($AN201="Ya",100%,100%+extraDelayZ)</f>
        <v>1</v>
      </c>
      <c r="BY201" s="263">
        <f t="shared" si="1048"/>
        <v>1</v>
      </c>
      <c r="BZ201" s="264">
        <f t="shared" si="1049"/>
        <v>1</v>
      </c>
      <c r="CA201" s="264">
        <f t="shared" si="1050"/>
        <v>1</v>
      </c>
      <c r="CB201" s="264">
        <f t="shared" si="1051"/>
        <v>1</v>
      </c>
      <c r="CC201" s="264">
        <f t="shared" si="1052"/>
        <v>1</v>
      </c>
      <c r="CD201" s="264">
        <f t="shared" si="1053"/>
        <v>1</v>
      </c>
      <c r="CE201" s="264">
        <f t="shared" si="1054"/>
        <v>1</v>
      </c>
      <c r="CF201" s="264">
        <f t="shared" si="1055"/>
        <v>1</v>
      </c>
      <c r="CG201" s="264">
        <f t="shared" si="1056"/>
        <v>1</v>
      </c>
      <c r="CH201" s="264">
        <f t="shared" si="1057"/>
        <v>1</v>
      </c>
      <c r="CI201" s="264">
        <f t="shared" si="1058"/>
        <v>1</v>
      </c>
      <c r="CJ201" s="265">
        <f t="shared" si="1059"/>
        <v>1</v>
      </c>
      <c r="CK201" s="269">
        <f t="array" ref="CK201">IF(ISERROR(SUM($K201:$V201*$BY201:$CJ201)/SUM($K201:$V201)),1,SUM($K201:$V201*$BY201:$CJ201)/SUM($K201:$V201))-1</f>
        <v>0</v>
      </c>
      <c r="CL201" s="234"/>
    </row>
    <row r="202" spans="1:90" ht="12.75" hidden="1" outlineLevel="1" x14ac:dyDescent="0.2">
      <c r="B202" s="404" t="str">
        <f t="shared" ca="1" si="1027"/>
        <v>Главная страница Ria.ru, 1000x270, статика, ~ 3 дня</v>
      </c>
      <c r="C202" s="649" t="str">
        <f t="shared" ca="1" si="1028"/>
        <v>Пакет</v>
      </c>
      <c r="D202" s="405">
        <f t="shared" ca="1" si="1029"/>
        <v>800</v>
      </c>
      <c r="E202" s="405">
        <f t="shared" ca="1" si="1030"/>
        <v>800</v>
      </c>
      <c r="F202" s="405">
        <f t="shared" ca="1" si="1031"/>
        <v>800</v>
      </c>
      <c r="G202" s="406">
        <f t="shared" ca="1" si="1032"/>
        <v>400000</v>
      </c>
      <c r="H202" s="406">
        <f t="shared" ca="1" si="1033"/>
        <v>400000</v>
      </c>
      <c r="I202" s="406">
        <f t="shared" ca="1" si="1034"/>
        <v>0</v>
      </c>
      <c r="J202" s="407">
        <f t="shared" ca="1" si="1035"/>
        <v>0</v>
      </c>
      <c r="K202" s="408"/>
      <c r="L202" s="409"/>
      <c r="M202" s="409"/>
      <c r="N202" s="409"/>
      <c r="O202" s="409"/>
      <c r="P202" s="409"/>
      <c r="Q202" s="409"/>
      <c r="R202" s="409"/>
      <c r="S202" s="409"/>
      <c r="T202" s="409"/>
      <c r="U202" s="409"/>
      <c r="V202" s="410"/>
      <c r="W202" s="406">
        <f t="shared" ca="1" si="1060"/>
        <v>0</v>
      </c>
      <c r="X202" s="406"/>
      <c r="Y202" s="411"/>
      <c r="Z202" s="412">
        <f t="shared" si="1036"/>
        <v>0</v>
      </c>
      <c r="AA202" s="413"/>
      <c r="AB202" s="413"/>
      <c r="AC202" s="413"/>
      <c r="AD202" s="413"/>
      <c r="AE202" s="413"/>
      <c r="AF202" s="413"/>
      <c r="AG202" s="413"/>
      <c r="AH202" s="413"/>
      <c r="AI202" s="413"/>
      <c r="AJ202" s="413"/>
      <c r="AK202" s="413"/>
      <c r="AL202" s="413"/>
      <c r="AM202" s="572"/>
      <c r="AN202" s="351" t="s">
        <v>129</v>
      </c>
      <c r="AO202" s="351" t="str">
        <f t="shared" si="1074"/>
        <v>RIA.ru</v>
      </c>
      <c r="AP202" s="115">
        <f t="shared" si="883"/>
        <v>29</v>
      </c>
      <c r="AQ202" s="31" t="str">
        <f t="shared" ca="1" si="1037"/>
        <v>-</v>
      </c>
      <c r="AR202" s="31" t="str">
        <f t="shared" ca="1" si="1037"/>
        <v>-</v>
      </c>
      <c r="AS202" s="35">
        <v>0</v>
      </c>
      <c r="AT202" s="229">
        <v>0</v>
      </c>
      <c r="AU202" s="344">
        <f t="shared" ca="1" si="1038"/>
        <v>800</v>
      </c>
      <c r="AV202" s="345">
        <f t="shared" ca="1" si="1039"/>
        <v>800</v>
      </c>
      <c r="AW202" s="346">
        <f t="shared" ca="1" si="1040"/>
        <v>800</v>
      </c>
      <c r="AX202" s="280"/>
      <c r="AY202" s="280"/>
      <c r="AZ202" s="347">
        <f t="shared" ca="1" si="1041"/>
        <v>400000</v>
      </c>
      <c r="BA202" s="348">
        <f t="shared" ca="1" si="1042"/>
        <v>400000</v>
      </c>
      <c r="BB202" s="347">
        <f t="shared" ca="1" si="1043"/>
        <v>500</v>
      </c>
      <c r="BC202" s="37" t="str">
        <f t="shared" ca="1" si="1043"/>
        <v>Пакет</v>
      </c>
      <c r="BD202" s="229" t="str">
        <f t="shared" ca="1" si="1044"/>
        <v>Пакет</v>
      </c>
      <c r="BE202" s="283">
        <f t="shared" ca="1" si="1075"/>
        <v>0</v>
      </c>
      <c r="BF202" s="347">
        <f t="array" aca="1" ref="BF202" ca="1">SUM($K202:$V202*$BK202:$BV202)*$AZ202</f>
        <v>0</v>
      </c>
      <c r="BG202" s="347">
        <f t="array" aca="1" ref="BG202" ca="1">SUM($K202:$V202*$BY202:$CJ202*$BK202:$BV202)*$AZ202*$BX202</f>
        <v>0</v>
      </c>
      <c r="BH202" s="347">
        <f t="array" aca="1" ref="BH202" ca="1">SUM($K202:$V202*$BY202:$CJ202*$BK202:$BV202)*(1-$BE202)*$AZ202*$BX202</f>
        <v>0</v>
      </c>
      <c r="BI202" s="350">
        <f t="shared" ca="1" si="1045"/>
        <v>0</v>
      </c>
      <c r="BJ202" s="275" t="str">
        <f t="shared" ca="1" si="1046"/>
        <v>Да</v>
      </c>
      <c r="BK202" s="116">
        <f t="shared" ca="1" si="1155"/>
        <v>0.8</v>
      </c>
      <c r="BL202" s="117">
        <f t="shared" ca="1" si="1155"/>
        <v>0.9</v>
      </c>
      <c r="BM202" s="117">
        <f t="shared" ca="1" si="1155"/>
        <v>1</v>
      </c>
      <c r="BN202" s="117">
        <f t="shared" ca="1" si="1155"/>
        <v>1</v>
      </c>
      <c r="BO202" s="117">
        <f t="shared" ca="1" si="1155"/>
        <v>1</v>
      </c>
      <c r="BP202" s="117">
        <f t="shared" ca="1" si="1155"/>
        <v>1</v>
      </c>
      <c r="BQ202" s="117">
        <f t="shared" ca="1" si="1155"/>
        <v>0.9</v>
      </c>
      <c r="BR202" s="117">
        <f t="shared" ca="1" si="1155"/>
        <v>0.9</v>
      </c>
      <c r="BS202" s="117">
        <f t="shared" ca="1" si="1155"/>
        <v>1.3</v>
      </c>
      <c r="BT202" s="117">
        <f t="shared" ca="1" si="1155"/>
        <v>1.3</v>
      </c>
      <c r="BU202" s="117">
        <f t="shared" ca="1" si="1155"/>
        <v>1.3</v>
      </c>
      <c r="BV202" s="278">
        <f t="shared" ca="1" si="1155"/>
        <v>1.3</v>
      </c>
      <c r="BW202" s="280">
        <f t="shared" si="1076"/>
        <v>26</v>
      </c>
      <c r="BX202" s="118">
        <f>IF($AN202="Ya",100%,100%+extraDelayZ)</f>
        <v>1</v>
      </c>
      <c r="BY202" s="263">
        <f t="shared" si="1048"/>
        <v>1</v>
      </c>
      <c r="BZ202" s="264">
        <f t="shared" si="1049"/>
        <v>1</v>
      </c>
      <c r="CA202" s="264">
        <f t="shared" si="1050"/>
        <v>1</v>
      </c>
      <c r="CB202" s="264">
        <f t="shared" si="1051"/>
        <v>1</v>
      </c>
      <c r="CC202" s="264">
        <f t="shared" si="1052"/>
        <v>1</v>
      </c>
      <c r="CD202" s="264">
        <f t="shared" si="1053"/>
        <v>1</v>
      </c>
      <c r="CE202" s="264">
        <f t="shared" si="1054"/>
        <v>1</v>
      </c>
      <c r="CF202" s="264">
        <f t="shared" si="1055"/>
        <v>1</v>
      </c>
      <c r="CG202" s="264">
        <f t="shared" si="1056"/>
        <v>1</v>
      </c>
      <c r="CH202" s="264">
        <f t="shared" si="1057"/>
        <v>1</v>
      </c>
      <c r="CI202" s="264">
        <f t="shared" si="1058"/>
        <v>1</v>
      </c>
      <c r="CJ202" s="265">
        <f t="shared" si="1059"/>
        <v>1</v>
      </c>
      <c r="CK202" s="269">
        <f t="array" ref="CK202">IF(ISERROR(SUM($K202:$V202*$BY202:$CJ202)/SUM($K202:$V202)),1,SUM($K202:$V202*$BY202:$CJ202)/SUM($K202:$V202))-1</f>
        <v>0</v>
      </c>
      <c r="CL202" s="234"/>
    </row>
    <row r="203" spans="1:90" ht="12.75" hidden="1" outlineLevel="1" x14ac:dyDescent="0.2">
      <c r="B203" s="404" t="str">
        <f t="shared" ca="1" si="1027"/>
        <v>Главная страница Ria.ru, 1000x270, статика, ~ Неделя</v>
      </c>
      <c r="C203" s="649" t="str">
        <f t="shared" ca="1" si="1028"/>
        <v>Пакет</v>
      </c>
      <c r="D203" s="405">
        <f t="shared" ca="1" si="1029"/>
        <v>700</v>
      </c>
      <c r="E203" s="405">
        <f t="shared" ca="1" si="1030"/>
        <v>700</v>
      </c>
      <c r="F203" s="405">
        <f t="shared" ca="1" si="1031"/>
        <v>700</v>
      </c>
      <c r="G203" s="406">
        <f t="shared" ca="1" si="1032"/>
        <v>700000</v>
      </c>
      <c r="H203" s="406">
        <f t="shared" ca="1" si="1033"/>
        <v>700000</v>
      </c>
      <c r="I203" s="406">
        <f t="shared" ca="1" si="1034"/>
        <v>0</v>
      </c>
      <c r="J203" s="407">
        <f t="shared" ca="1" si="1035"/>
        <v>0</v>
      </c>
      <c r="K203" s="408"/>
      <c r="L203" s="409"/>
      <c r="M203" s="409"/>
      <c r="N203" s="409"/>
      <c r="O203" s="409"/>
      <c r="P203" s="409"/>
      <c r="Q203" s="409"/>
      <c r="R203" s="409"/>
      <c r="S203" s="409"/>
      <c r="T203" s="409"/>
      <c r="U203" s="409"/>
      <c r="V203" s="410"/>
      <c r="W203" s="406">
        <f t="shared" ca="1" si="1060"/>
        <v>0</v>
      </c>
      <c r="X203" s="406"/>
      <c r="Y203" s="411"/>
      <c r="Z203" s="412">
        <f t="shared" si="1036"/>
        <v>0</v>
      </c>
      <c r="AA203" s="413"/>
      <c r="AB203" s="413"/>
      <c r="AC203" s="413"/>
      <c r="AD203" s="413"/>
      <c r="AE203" s="413"/>
      <c r="AF203" s="413"/>
      <c r="AG203" s="413"/>
      <c r="AH203" s="413"/>
      <c r="AI203" s="413"/>
      <c r="AJ203" s="413"/>
      <c r="AK203" s="413"/>
      <c r="AL203" s="413"/>
      <c r="AM203" s="572"/>
      <c r="AN203" s="351" t="s">
        <v>129</v>
      </c>
      <c r="AO203" s="351" t="str">
        <f t="shared" si="1074"/>
        <v>RIA.ru</v>
      </c>
      <c r="AP203" s="115">
        <f t="shared" ref="AP203:AP266" si="1156">COUNTIF($AN$10:$AN$353,$AN203)</f>
        <v>29</v>
      </c>
      <c r="AQ203" s="31" t="str">
        <f t="shared" ca="1" si="1037"/>
        <v>-</v>
      </c>
      <c r="AR203" s="31" t="str">
        <f t="shared" ca="1" si="1037"/>
        <v>-</v>
      </c>
      <c r="AS203" s="35">
        <v>0</v>
      </c>
      <c r="AT203" s="229">
        <v>0</v>
      </c>
      <c r="AU203" s="344">
        <f t="shared" ca="1" si="1038"/>
        <v>700</v>
      </c>
      <c r="AV203" s="345">
        <f t="shared" ca="1" si="1039"/>
        <v>700</v>
      </c>
      <c r="AW203" s="346">
        <f t="shared" ca="1" si="1040"/>
        <v>700</v>
      </c>
      <c r="AX203" s="280"/>
      <c r="AY203" s="280"/>
      <c r="AZ203" s="347">
        <f t="shared" ca="1" si="1041"/>
        <v>700000</v>
      </c>
      <c r="BA203" s="348">
        <f t="shared" ca="1" si="1042"/>
        <v>700000</v>
      </c>
      <c r="BB203" s="347">
        <f t="shared" ca="1" si="1043"/>
        <v>1000</v>
      </c>
      <c r="BC203" s="37" t="str">
        <f t="shared" ca="1" si="1043"/>
        <v>Пакет</v>
      </c>
      <c r="BD203" s="229" t="str">
        <f t="shared" ca="1" si="1044"/>
        <v>Пакет</v>
      </c>
      <c r="BE203" s="283">
        <f t="shared" ca="1" si="1075"/>
        <v>0</v>
      </c>
      <c r="BF203" s="347">
        <f t="array" aca="1" ref="BF203" ca="1">SUM($K203:$V203*$BK203:$BV203)*$AZ203</f>
        <v>0</v>
      </c>
      <c r="BG203" s="347">
        <f t="array" aca="1" ref="BG203" ca="1">SUM($K203:$V203*$BY203:$CJ203*$BK203:$BV203)*$AZ203*$BX203</f>
        <v>0</v>
      </c>
      <c r="BH203" s="347">
        <f t="array" aca="1" ref="BH203" ca="1">SUM($K203:$V203*$BY203:$CJ203*$BK203:$BV203)*(1-$BE203)*$AZ203*$BX203</f>
        <v>0</v>
      </c>
      <c r="BI203" s="350">
        <f t="shared" ca="1" si="1045"/>
        <v>0</v>
      </c>
      <c r="BJ203" s="275" t="str">
        <f t="shared" ca="1" si="1046"/>
        <v>Да</v>
      </c>
      <c r="BK203" s="116">
        <f t="shared" ca="1" si="1155"/>
        <v>0.8</v>
      </c>
      <c r="BL203" s="117">
        <f t="shared" ca="1" si="1155"/>
        <v>0.9</v>
      </c>
      <c r="BM203" s="117">
        <f t="shared" ca="1" si="1155"/>
        <v>1</v>
      </c>
      <c r="BN203" s="117">
        <f t="shared" ca="1" si="1155"/>
        <v>1</v>
      </c>
      <c r="BO203" s="117">
        <f t="shared" ca="1" si="1155"/>
        <v>1</v>
      </c>
      <c r="BP203" s="117">
        <f t="shared" ca="1" si="1155"/>
        <v>1</v>
      </c>
      <c r="BQ203" s="117">
        <f t="shared" ca="1" si="1155"/>
        <v>0.9</v>
      </c>
      <c r="BR203" s="117">
        <f t="shared" ca="1" si="1155"/>
        <v>0.9</v>
      </c>
      <c r="BS203" s="117">
        <f t="shared" ca="1" si="1155"/>
        <v>1.3</v>
      </c>
      <c r="BT203" s="117">
        <f t="shared" ca="1" si="1155"/>
        <v>1.3</v>
      </c>
      <c r="BU203" s="117">
        <f t="shared" ca="1" si="1155"/>
        <v>1.3</v>
      </c>
      <c r="BV203" s="278">
        <f t="shared" ca="1" si="1155"/>
        <v>1.3</v>
      </c>
      <c r="BW203" s="280">
        <f t="shared" si="1076"/>
        <v>27</v>
      </c>
      <c r="BX203" s="118">
        <f>IF($AN203="Ya",100%,100%+extraDelayZ)</f>
        <v>1</v>
      </c>
      <c r="BY203" s="263">
        <f t="shared" si="1048"/>
        <v>1</v>
      </c>
      <c r="BZ203" s="264">
        <f t="shared" si="1049"/>
        <v>1</v>
      </c>
      <c r="CA203" s="264">
        <f t="shared" si="1050"/>
        <v>1</v>
      </c>
      <c r="CB203" s="264">
        <f t="shared" si="1051"/>
        <v>1</v>
      </c>
      <c r="CC203" s="264">
        <f t="shared" si="1052"/>
        <v>1</v>
      </c>
      <c r="CD203" s="264">
        <f t="shared" si="1053"/>
        <v>1</v>
      </c>
      <c r="CE203" s="264">
        <f t="shared" si="1054"/>
        <v>1</v>
      </c>
      <c r="CF203" s="264">
        <f t="shared" si="1055"/>
        <v>1</v>
      </c>
      <c r="CG203" s="264">
        <f t="shared" si="1056"/>
        <v>1</v>
      </c>
      <c r="CH203" s="264">
        <f t="shared" si="1057"/>
        <v>1</v>
      </c>
      <c r="CI203" s="264">
        <f t="shared" si="1058"/>
        <v>1</v>
      </c>
      <c r="CJ203" s="265">
        <f t="shared" si="1059"/>
        <v>1</v>
      </c>
      <c r="CK203" s="269">
        <f t="array" ref="CK203">IF(ISERROR(SUM($K203:$V203*$BY203:$CJ203)/SUM($K203:$V203)),1,SUM($K203:$V203*$BY203:$CJ203)/SUM($K203:$V203))-1</f>
        <v>0</v>
      </c>
      <c r="CL203" s="234"/>
    </row>
    <row r="204" spans="1:90" ht="12.75" hidden="1" outlineLevel="1" x14ac:dyDescent="0.2">
      <c r="B204" s="404" t="str">
        <f t="shared" ca="1" si="1027"/>
        <v>Все страницы Ria.ru, 1000x270, динамика</v>
      </c>
      <c r="C204" s="649" t="str">
        <f t="shared" ca="1" si="1028"/>
        <v>х1000</v>
      </c>
      <c r="D204" s="405">
        <f t="shared" ca="1" si="1029"/>
        <v>700</v>
      </c>
      <c r="E204" s="405">
        <f t="shared" ca="1" si="1030"/>
        <v>700</v>
      </c>
      <c r="F204" s="405">
        <f t="shared" ca="1" si="1031"/>
        <v>700</v>
      </c>
      <c r="G204" s="406">
        <f t="shared" ca="1" si="1032"/>
        <v>700</v>
      </c>
      <c r="H204" s="406">
        <f t="shared" ca="1" si="1033"/>
        <v>700</v>
      </c>
      <c r="I204" s="406">
        <f t="shared" ca="1" si="1034"/>
        <v>0</v>
      </c>
      <c r="J204" s="407">
        <f t="shared" ca="1" si="1035"/>
        <v>0</v>
      </c>
      <c r="K204" s="408"/>
      <c r="L204" s="409"/>
      <c r="M204" s="409"/>
      <c r="N204" s="409"/>
      <c r="O204" s="409"/>
      <c r="P204" s="409"/>
      <c r="Q204" s="409"/>
      <c r="R204" s="409"/>
      <c r="S204" s="409"/>
      <c r="T204" s="409"/>
      <c r="U204" s="409"/>
      <c r="V204" s="410"/>
      <c r="W204" s="406">
        <f t="shared" ca="1" si="1060"/>
        <v>0</v>
      </c>
      <c r="X204" s="406"/>
      <c r="Y204" s="411"/>
      <c r="Z204" s="412">
        <f t="shared" si="1036"/>
        <v>0</v>
      </c>
      <c r="AA204" s="413"/>
      <c r="AB204" s="413"/>
      <c r="AC204" s="413"/>
      <c r="AD204" s="413"/>
      <c r="AE204" s="413"/>
      <c r="AF204" s="413"/>
      <c r="AG204" s="413"/>
      <c r="AH204" s="413"/>
      <c r="AI204" s="413"/>
      <c r="AJ204" s="413"/>
      <c r="AK204" s="413"/>
      <c r="AL204" s="413"/>
      <c r="AM204" s="572"/>
      <c r="AN204" s="351" t="s">
        <v>129</v>
      </c>
      <c r="AO204" s="351" t="str">
        <f t="shared" si="1074"/>
        <v>RIA.ru</v>
      </c>
      <c r="AP204" s="115">
        <f t="shared" si="1156"/>
        <v>29</v>
      </c>
      <c r="AQ204" s="31">
        <f t="shared" ca="1" si="1037"/>
        <v>0.25</v>
      </c>
      <c r="AR204" s="31" t="str">
        <f t="shared" ca="1" si="1037"/>
        <v>Вкл.</v>
      </c>
      <c r="AS204" s="35">
        <v>0</v>
      </c>
      <c r="AT204" s="229">
        <v>0</v>
      </c>
      <c r="AU204" s="344">
        <f t="shared" ca="1" si="1038"/>
        <v>700</v>
      </c>
      <c r="AV204" s="345">
        <f t="shared" ca="1" si="1039"/>
        <v>700</v>
      </c>
      <c r="AW204" s="346">
        <f t="shared" ca="1" si="1040"/>
        <v>700</v>
      </c>
      <c r="AX204" s="280"/>
      <c r="AY204" s="280"/>
      <c r="AZ204" s="347">
        <f t="shared" ca="1" si="1041"/>
        <v>700</v>
      </c>
      <c r="BA204" s="348">
        <f t="shared" ca="1" si="1042"/>
        <v>700</v>
      </c>
      <c r="BB204" s="347">
        <f t="shared" ca="1" si="1043"/>
        <v>1</v>
      </c>
      <c r="BC204" s="37" t="str">
        <f t="shared" ca="1" si="1043"/>
        <v>1000 контактов</v>
      </c>
      <c r="BD204" s="229" t="str">
        <f t="shared" ca="1" si="1044"/>
        <v>х1000</v>
      </c>
      <c r="BE204" s="283">
        <f t="shared" ca="1" si="1075"/>
        <v>0</v>
      </c>
      <c r="BF204" s="347">
        <f t="array" aca="1" ref="BF204" ca="1">SUM($K204:$V204*$BK204:$BV204)*$AZ204</f>
        <v>0</v>
      </c>
      <c r="BG204" s="347">
        <f t="array" aca="1" ref="BG204" ca="1">SUM($K204:$V204*$BY204:$CJ204*$BK204:$BV204)*$AZ204*$BX204</f>
        <v>0</v>
      </c>
      <c r="BH204" s="347">
        <f t="array" aca="1" ref="BH204" ca="1">SUM($K204:$V204*$BY204:$CJ204*$BK204:$BV204)*(1-$BE204)*$AZ204*$BX204</f>
        <v>0</v>
      </c>
      <c r="BI204" s="350">
        <f t="shared" ca="1" si="1045"/>
        <v>0</v>
      </c>
      <c r="BJ204" s="275" t="str">
        <f t="shared" ca="1" si="1046"/>
        <v>Да</v>
      </c>
      <c r="BK204" s="116">
        <f t="shared" ca="1" si="1155"/>
        <v>0.8</v>
      </c>
      <c r="BL204" s="117">
        <f t="shared" ca="1" si="1155"/>
        <v>0.9</v>
      </c>
      <c r="BM204" s="117">
        <f t="shared" ca="1" si="1155"/>
        <v>1</v>
      </c>
      <c r="BN204" s="117">
        <f t="shared" ca="1" si="1155"/>
        <v>1</v>
      </c>
      <c r="BO204" s="117">
        <f t="shared" ca="1" si="1155"/>
        <v>1</v>
      </c>
      <c r="BP204" s="117">
        <f t="shared" ca="1" si="1155"/>
        <v>1</v>
      </c>
      <c r="BQ204" s="117">
        <f t="shared" ca="1" si="1155"/>
        <v>0.9</v>
      </c>
      <c r="BR204" s="117">
        <f t="shared" ca="1" si="1155"/>
        <v>0.9</v>
      </c>
      <c r="BS204" s="117">
        <f t="shared" ca="1" si="1155"/>
        <v>1.3</v>
      </c>
      <c r="BT204" s="117">
        <f t="shared" ca="1" si="1155"/>
        <v>1.3</v>
      </c>
      <c r="BU204" s="117">
        <f t="shared" ca="1" si="1155"/>
        <v>1.3</v>
      </c>
      <c r="BV204" s="278">
        <f t="shared" ca="1" si="1155"/>
        <v>1.3</v>
      </c>
      <c r="BW204" s="280">
        <f t="shared" si="1076"/>
        <v>28</v>
      </c>
      <c r="BX204" s="118">
        <f>IF($AN204="Ya",100%,100%+extraDelayZ)</f>
        <v>1</v>
      </c>
      <c r="BY204" s="263">
        <f t="shared" si="1048"/>
        <v>1</v>
      </c>
      <c r="BZ204" s="264">
        <f t="shared" si="1049"/>
        <v>1</v>
      </c>
      <c r="CA204" s="264">
        <f t="shared" si="1050"/>
        <v>1</v>
      </c>
      <c r="CB204" s="264">
        <f t="shared" si="1051"/>
        <v>1</v>
      </c>
      <c r="CC204" s="264">
        <f t="shared" si="1052"/>
        <v>1</v>
      </c>
      <c r="CD204" s="264">
        <f t="shared" si="1053"/>
        <v>1</v>
      </c>
      <c r="CE204" s="264">
        <f t="shared" si="1054"/>
        <v>1</v>
      </c>
      <c r="CF204" s="264">
        <f t="shared" si="1055"/>
        <v>1</v>
      </c>
      <c r="CG204" s="264">
        <f t="shared" si="1056"/>
        <v>1</v>
      </c>
      <c r="CH204" s="264">
        <f t="shared" si="1057"/>
        <v>1</v>
      </c>
      <c r="CI204" s="264">
        <f t="shared" si="1058"/>
        <v>1</v>
      </c>
      <c r="CJ204" s="265">
        <f t="shared" si="1059"/>
        <v>1</v>
      </c>
      <c r="CK204" s="269">
        <f t="array" ref="CK204">IF(ISERROR(SUM($K204:$V204*$BY204:$CJ204)/SUM($K204:$V204)),1,SUM($K204:$V204*$BY204:$CJ204)/SUM($K204:$V204))-1</f>
        <v>0</v>
      </c>
      <c r="CL204" s="234"/>
    </row>
    <row r="205" spans="1:90" ht="12.75" hidden="1" outlineLevel="1" x14ac:dyDescent="0.2">
      <c r="B205" s="414" t="str">
        <f t="shared" ca="1" si="1027"/>
        <v>FullScreen, F = 1 в сутки</v>
      </c>
      <c r="C205" s="649" t="str">
        <f t="shared" ca="1" si="1028"/>
        <v>х1000</v>
      </c>
      <c r="D205" s="415">
        <f t="shared" ca="1" si="1029"/>
        <v>2000</v>
      </c>
      <c r="E205" s="415">
        <f t="shared" ca="1" si="1030"/>
        <v>2000</v>
      </c>
      <c r="F205" s="415">
        <f t="shared" ca="1" si="1031"/>
        <v>2000</v>
      </c>
      <c r="G205" s="416">
        <f t="shared" ca="1" si="1032"/>
        <v>2000</v>
      </c>
      <c r="H205" s="416">
        <f t="shared" ca="1" si="1033"/>
        <v>2000</v>
      </c>
      <c r="I205" s="406">
        <f t="shared" ca="1" si="1034"/>
        <v>0</v>
      </c>
      <c r="J205" s="407">
        <f t="shared" ca="1" si="1035"/>
        <v>0</v>
      </c>
      <c r="K205" s="417"/>
      <c r="L205" s="418"/>
      <c r="M205" s="418"/>
      <c r="N205" s="418"/>
      <c r="O205" s="418"/>
      <c r="P205" s="418"/>
      <c r="Q205" s="418"/>
      <c r="R205" s="418"/>
      <c r="S205" s="418"/>
      <c r="T205" s="418"/>
      <c r="U205" s="418"/>
      <c r="V205" s="419"/>
      <c r="W205" s="416">
        <f t="shared" ca="1" si="1060"/>
        <v>0</v>
      </c>
      <c r="X205" s="416"/>
      <c r="Y205" s="420"/>
      <c r="Z205" s="412">
        <f t="shared" si="1036"/>
        <v>0</v>
      </c>
      <c r="AA205" s="421"/>
      <c r="AB205" s="421"/>
      <c r="AC205" s="421"/>
      <c r="AD205" s="421"/>
      <c r="AE205" s="421"/>
      <c r="AF205" s="421"/>
      <c r="AG205" s="421"/>
      <c r="AH205" s="421"/>
      <c r="AI205" s="421"/>
      <c r="AJ205" s="421"/>
      <c r="AK205" s="421"/>
      <c r="AL205" s="421"/>
      <c r="AM205" s="573"/>
      <c r="AN205" s="351" t="s">
        <v>129</v>
      </c>
      <c r="AO205" s="351" t="str">
        <f t="shared" si="1074"/>
        <v>RIA.ru</v>
      </c>
      <c r="AP205" s="115">
        <f t="shared" si="1156"/>
        <v>29</v>
      </c>
      <c r="AQ205" s="31">
        <f t="shared" ca="1" si="1037"/>
        <v>0.25</v>
      </c>
      <c r="AR205" s="31" t="str">
        <f t="shared" ca="1" si="1037"/>
        <v>Вкл.</v>
      </c>
      <c r="AS205" s="35">
        <v>0</v>
      </c>
      <c r="AT205" s="229">
        <v>0</v>
      </c>
      <c r="AU205" s="344">
        <f t="shared" ca="1" si="1038"/>
        <v>2000</v>
      </c>
      <c r="AV205" s="345">
        <f t="shared" ca="1" si="1039"/>
        <v>2000</v>
      </c>
      <c r="AW205" s="346">
        <f t="shared" ca="1" si="1040"/>
        <v>2000</v>
      </c>
      <c r="AX205" s="280"/>
      <c r="AY205" s="280"/>
      <c r="AZ205" s="347">
        <f t="shared" ca="1" si="1041"/>
        <v>2000</v>
      </c>
      <c r="BA205" s="348">
        <f t="shared" ca="1" si="1042"/>
        <v>2000</v>
      </c>
      <c r="BB205" s="347">
        <f t="shared" ca="1" si="1043"/>
        <v>1</v>
      </c>
      <c r="BC205" s="37" t="str">
        <f t="shared" ca="1" si="1043"/>
        <v>1000 контактов</v>
      </c>
      <c r="BD205" s="229" t="str">
        <f t="shared" ca="1" si="1044"/>
        <v>х1000</v>
      </c>
      <c r="BE205" s="283">
        <f t="shared" ca="1" si="1075"/>
        <v>0</v>
      </c>
      <c r="BF205" s="347">
        <f t="array" aca="1" ref="BF205" ca="1">SUM($K205:$V205*$BK205:$BV205)*$AZ205</f>
        <v>0</v>
      </c>
      <c r="BG205" s="347">
        <f t="array" aca="1" ref="BG205" ca="1">SUM($K205:$V205*$BY205:$CJ205*$BK205:$BV205)*$AZ205*$BX205</f>
        <v>0</v>
      </c>
      <c r="BH205" s="347">
        <f t="array" aca="1" ref="BH205" ca="1">SUM($K205:$V205*$BY205:$CJ205*$BK205:$BV205)*(1-$BE205)*$AZ205*$BX205</f>
        <v>0</v>
      </c>
      <c r="BI205" s="350">
        <f t="shared" ca="1" si="1045"/>
        <v>0</v>
      </c>
      <c r="BJ205" s="275" t="str">
        <f t="shared" ca="1" si="1046"/>
        <v>Да</v>
      </c>
      <c r="BK205" s="116">
        <f t="shared" ca="1" si="1155"/>
        <v>0.8</v>
      </c>
      <c r="BL205" s="117">
        <f t="shared" ca="1" si="1155"/>
        <v>0.9</v>
      </c>
      <c r="BM205" s="117">
        <f t="shared" ca="1" si="1155"/>
        <v>1</v>
      </c>
      <c r="BN205" s="117">
        <f t="shared" ca="1" si="1155"/>
        <v>1</v>
      </c>
      <c r="BO205" s="117">
        <f t="shared" ca="1" si="1155"/>
        <v>1</v>
      </c>
      <c r="BP205" s="117">
        <f t="shared" ca="1" si="1155"/>
        <v>1</v>
      </c>
      <c r="BQ205" s="117">
        <f t="shared" ca="1" si="1155"/>
        <v>0.9</v>
      </c>
      <c r="BR205" s="117">
        <f t="shared" ca="1" si="1155"/>
        <v>0.9</v>
      </c>
      <c r="BS205" s="117">
        <f t="shared" ca="1" si="1155"/>
        <v>1.3</v>
      </c>
      <c r="BT205" s="117">
        <f t="shared" ca="1" si="1155"/>
        <v>1.3</v>
      </c>
      <c r="BU205" s="117">
        <f t="shared" ca="1" si="1155"/>
        <v>1.3</v>
      </c>
      <c r="BV205" s="278">
        <f t="shared" ca="1" si="1155"/>
        <v>1.3</v>
      </c>
      <c r="BW205" s="280">
        <f t="shared" si="1076"/>
        <v>29</v>
      </c>
      <c r="BX205" s="118">
        <f>IF($AN205="Ya",100%,100%+extraDelayZ)</f>
        <v>1</v>
      </c>
      <c r="BY205" s="263">
        <f t="shared" si="1048"/>
        <v>1</v>
      </c>
      <c r="BZ205" s="264">
        <f t="shared" si="1049"/>
        <v>1</v>
      </c>
      <c r="CA205" s="264">
        <f t="shared" si="1050"/>
        <v>1</v>
      </c>
      <c r="CB205" s="264">
        <f t="shared" si="1051"/>
        <v>1</v>
      </c>
      <c r="CC205" s="264">
        <f t="shared" si="1052"/>
        <v>1</v>
      </c>
      <c r="CD205" s="264">
        <f t="shared" si="1053"/>
        <v>1</v>
      </c>
      <c r="CE205" s="264">
        <f t="shared" si="1054"/>
        <v>1</v>
      </c>
      <c r="CF205" s="264">
        <f t="shared" si="1055"/>
        <v>1</v>
      </c>
      <c r="CG205" s="264">
        <f t="shared" si="1056"/>
        <v>1</v>
      </c>
      <c r="CH205" s="264">
        <f t="shared" si="1057"/>
        <v>1</v>
      </c>
      <c r="CI205" s="264">
        <f t="shared" si="1058"/>
        <v>1</v>
      </c>
      <c r="CJ205" s="265">
        <f t="shared" si="1059"/>
        <v>1</v>
      </c>
      <c r="CK205" s="269">
        <f t="array" ref="CK205">IF(ISERROR(SUM($K205:$V205*$BY205:$CJ205)/SUM($K205:$V205)),1,SUM($K205:$V205*$BY205:$CJ205)/SUM($K205:$V205))-1</f>
        <v>0</v>
      </c>
      <c r="CL205" s="234"/>
    </row>
    <row r="206" spans="1:90" ht="15" collapsed="1" x14ac:dyDescent="0.2">
      <c r="A206" s="391"/>
      <c r="B206" s="392" t="str">
        <f>CONCATENATE($AO206,IF($AX206&gt;0,CONCATENATE("  (план ",TEXT(INDEX(indBudX,MATCH($AN206,indPrefixX,0)),"# ##0")," руб.)"),""))</f>
        <v>Inopressa.ru</v>
      </c>
      <c r="C206" s="650" t="s">
        <v>363</v>
      </c>
      <c r="D206" s="393"/>
      <c r="E206" s="394"/>
      <c r="F206" s="394"/>
      <c r="G206" s="395"/>
      <c r="H206" s="395"/>
      <c r="I206" s="395">
        <f t="shared" ca="1" si="1034"/>
        <v>0</v>
      </c>
      <c r="J206" s="396">
        <f ca="1">$BH206</f>
        <v>0</v>
      </c>
      <c r="K206" s="397"/>
      <c r="L206" s="398"/>
      <c r="M206" s="398"/>
      <c r="N206" s="398"/>
      <c r="O206" s="398"/>
      <c r="P206" s="398"/>
      <c r="Q206" s="398"/>
      <c r="R206" s="398"/>
      <c r="S206" s="398"/>
      <c r="T206" s="398"/>
      <c r="U206" s="398"/>
      <c r="V206" s="399"/>
      <c r="W206" s="395">
        <f t="shared" ca="1" si="1060"/>
        <v>0</v>
      </c>
      <c r="X206" s="576"/>
      <c r="Y206" s="400">
        <f ca="1">$BE206</f>
        <v>0</v>
      </c>
      <c r="Z206" s="401"/>
      <c r="AA206" s="402"/>
      <c r="AB206" s="402"/>
      <c r="AC206" s="402"/>
      <c r="AD206" s="402"/>
      <c r="AE206" s="402"/>
      <c r="AF206" s="402"/>
      <c r="AG206" s="402"/>
      <c r="AH206" s="402"/>
      <c r="AI206" s="402"/>
      <c r="AJ206" s="402"/>
      <c r="AK206" s="402"/>
      <c r="AL206" s="402"/>
      <c r="AM206" s="403"/>
      <c r="AN206" s="130" t="s">
        <v>131</v>
      </c>
      <c r="AO206" s="130" t="str">
        <f t="shared" si="1074"/>
        <v>Inopressa.ru</v>
      </c>
      <c r="AP206" s="119">
        <f t="shared" si="1156"/>
        <v>4</v>
      </c>
      <c r="AQ206" s="120"/>
      <c r="AR206" s="120"/>
      <c r="AS206" s="121"/>
      <c r="AT206" s="228"/>
      <c r="AU206" s="232"/>
      <c r="AV206" s="179"/>
      <c r="AW206" s="233"/>
      <c r="AX206" s="279">
        <f>IF(ISERROR(INDEX(indBudX,MATCH($AN206,indPrefixX,0))),0,INDEX(indBudX,MATCH($AN206,indPrefixX,0)))</f>
        <v>0</v>
      </c>
      <c r="AY206" s="279">
        <f>IF(ISNUMBER($X206),$X206,0)</f>
        <v>0</v>
      </c>
      <c r="AZ206" s="123"/>
      <c r="BA206" s="125"/>
      <c r="BB206" s="123"/>
      <c r="BC206" s="124"/>
      <c r="BD206" s="464"/>
      <c r="BE206" s="282">
        <f t="shared" ca="1" si="1075"/>
        <v>0</v>
      </c>
      <c r="BF206" s="123">
        <f t="shared" ref="BF206:BI206" ca="1" si="1157">SUM(OFFSET(BF206,1,0,$AP206-1,1))</f>
        <v>0</v>
      </c>
      <c r="BG206" s="123">
        <f t="shared" ca="1" si="1157"/>
        <v>0</v>
      </c>
      <c r="BH206" s="123">
        <f t="shared" ca="1" si="1157"/>
        <v>0</v>
      </c>
      <c r="BI206" s="273">
        <f t="shared" ca="1" si="1157"/>
        <v>0</v>
      </c>
      <c r="BJ206" s="274"/>
      <c r="BK206" s="126"/>
      <c r="BL206" s="127"/>
      <c r="BM206" s="127"/>
      <c r="BN206" s="127"/>
      <c r="BO206" s="127"/>
      <c r="BP206" s="127"/>
      <c r="BQ206" s="127"/>
      <c r="BR206" s="127"/>
      <c r="BS206" s="127"/>
      <c r="BT206" s="127"/>
      <c r="BU206" s="127"/>
      <c r="BV206" s="277"/>
      <c r="BW206" s="279">
        <f t="shared" si="1076"/>
        <v>1</v>
      </c>
      <c r="BX206" s="128"/>
      <c r="BY206" s="260"/>
      <c r="BZ206" s="261"/>
      <c r="CA206" s="261"/>
      <c r="CB206" s="261"/>
      <c r="CC206" s="261"/>
      <c r="CD206" s="261"/>
      <c r="CE206" s="261"/>
      <c r="CF206" s="261"/>
      <c r="CG206" s="261"/>
      <c r="CH206" s="261"/>
      <c r="CI206" s="261"/>
      <c r="CJ206" s="262"/>
      <c r="CK206" s="270"/>
      <c r="CL206" s="234"/>
    </row>
    <row r="207" spans="1:90" ht="12.75" hidden="1" outlineLevel="1" x14ac:dyDescent="0.2">
      <c r="B207" s="404" t="str">
        <f t="shared" ref="B207:B209" ca="1" si="1158">INDEX(INDIRECT(LOWER($AN207)&amp;"Price"),$BW207,2)</f>
        <v>Пакет "Охват 500К", 240x400</v>
      </c>
      <c r="C207" s="649" t="str">
        <f t="shared" ref="C207:C209" ca="1" si="1159">$BD207</f>
        <v>Пакет</v>
      </c>
      <c r="D207" s="405">
        <f t="shared" ref="D207:D209" ca="1" si="1160">$AU207</f>
        <v>450</v>
      </c>
      <c r="E207" s="405">
        <f t="shared" ref="E207:E209" ca="1" si="1161">$AV207</f>
        <v>450</v>
      </c>
      <c r="F207" s="405">
        <f t="shared" ref="F207:F209" ca="1" si="1162">$AW207</f>
        <v>450</v>
      </c>
      <c r="G207" s="406">
        <f t="shared" ref="G207:G209" ca="1" si="1163">$AZ207</f>
        <v>225000</v>
      </c>
      <c r="H207" s="406">
        <f t="shared" ref="H207:H209" ca="1" si="1164">$BA207</f>
        <v>225000</v>
      </c>
      <c r="I207" s="406">
        <f t="shared" ref="I207:I210" ca="1" si="1165">$BG207</f>
        <v>0</v>
      </c>
      <c r="J207" s="407">
        <f t="shared" ref="J207:J209" ca="1" si="1166">$BH207</f>
        <v>0</v>
      </c>
      <c r="K207" s="617"/>
      <c r="L207" s="618"/>
      <c r="M207" s="618"/>
      <c r="N207" s="618"/>
      <c r="O207" s="618"/>
      <c r="P207" s="618"/>
      <c r="Q207" s="618"/>
      <c r="R207" s="618"/>
      <c r="S207" s="618"/>
      <c r="T207" s="618"/>
      <c r="U207" s="618"/>
      <c r="V207" s="619"/>
      <c r="W207" s="406">
        <f t="shared" ca="1" si="1060"/>
        <v>0</v>
      </c>
      <c r="X207" s="406"/>
      <c r="Y207" s="411"/>
      <c r="Z207" s="412">
        <f t="shared" ref="Z207:Z209" si="1167">CK207</f>
        <v>0</v>
      </c>
      <c r="AA207" s="620"/>
      <c r="AB207" s="620"/>
      <c r="AC207" s="620"/>
      <c r="AD207" s="620"/>
      <c r="AE207" s="620"/>
      <c r="AF207" s="620"/>
      <c r="AG207" s="620"/>
      <c r="AH207" s="620"/>
      <c r="AI207" s="620"/>
      <c r="AJ207" s="620"/>
      <c r="AK207" s="620"/>
      <c r="AL207" s="620"/>
      <c r="AM207" s="621"/>
      <c r="AN207" s="351" t="s">
        <v>131</v>
      </c>
      <c r="AO207" s="351" t="str">
        <f t="shared" si="1074"/>
        <v>Inopressa.ru</v>
      </c>
      <c r="AP207" s="115">
        <f t="shared" si="1156"/>
        <v>4</v>
      </c>
      <c r="AQ207" s="31" t="str">
        <f t="shared" ref="AQ207:AR209" ca="1" si="1168">HLOOKUP(AQ$10,INDIRECT(LOWER($AN207)&amp;"Price"),$BW207,FALSE)</f>
        <v>-</v>
      </c>
      <c r="AR207" s="31" t="str">
        <f t="shared" ca="1" si="1168"/>
        <v>-</v>
      </c>
      <c r="AS207" s="35">
        <v>0</v>
      </c>
      <c r="AT207" s="229">
        <v>0</v>
      </c>
      <c r="AU207" s="344">
        <f t="shared" ref="AU207:AU209" ca="1" si="1169">HLOOKUP(AU$10,INDIRECT(LOWER($AN207)&amp;"Price"),$BW207,FALSE)</f>
        <v>450</v>
      </c>
      <c r="AV207" s="345">
        <f t="shared" ref="AV207:AV209" ca="1" si="1170">IF(ISERROR($BG207/$BI207),$AU207,$BG207/$BI207)</f>
        <v>450</v>
      </c>
      <c r="AW207" s="346">
        <f t="shared" ref="AW207:AW209" ca="1" si="1171">$AV207*(1-$BE207)</f>
        <v>450</v>
      </c>
      <c r="AX207" s="280"/>
      <c r="AY207" s="280"/>
      <c r="AZ207" s="347">
        <f t="shared" ref="AZ207:AZ209" ca="1" si="1172">HLOOKUP(AZ$10,INDIRECT(LOWER($AN207)&amp;"Price"),$BW207,FALSE)</f>
        <v>225000</v>
      </c>
      <c r="BA207" s="348">
        <f t="shared" ref="BA207:BA209" ca="1" si="1173">$AZ207*(1-$BE207)</f>
        <v>225000</v>
      </c>
      <c r="BB207" s="347">
        <f t="shared" ref="BB207:BC209" ca="1" si="1174">HLOOKUP(BB$10,INDIRECT(LOWER($AN207)&amp;"Price"),$BW207,FALSE)</f>
        <v>500</v>
      </c>
      <c r="BC207" s="37" t="str">
        <f t="shared" ca="1" si="1174"/>
        <v>Пакет</v>
      </c>
      <c r="BD207" s="229" t="str">
        <f t="shared" ref="BD207:BD209" ca="1" si="1175">IF(ISERROR(VLOOKUP($BC207,typeIndexPair,2,FALSE)),"",VLOOKUP($BC207,typeIndexPair,2,FALSE))</f>
        <v>Пакет</v>
      </c>
      <c r="BE207" s="283">
        <f t="shared" ca="1" si="1075"/>
        <v>0</v>
      </c>
      <c r="BF207" s="347">
        <f t="array" aca="1" ref="BF207" ca="1">SUM($K207:$V207*$BK207:$BV207)*$AZ207</f>
        <v>0</v>
      </c>
      <c r="BG207" s="347">
        <f t="array" aca="1" ref="BG207" ca="1">SUM($K207:$V207*$BY207:$CJ207*$BK207:$BV207)*$AZ207*$BX207</f>
        <v>0</v>
      </c>
      <c r="BH207" s="347">
        <f t="array" aca="1" ref="BH207" ca="1">SUM($K207:$V207*$BY207:$CJ207*$BK207:$BV207)*(1-$BE207)*$AZ207*$BX207</f>
        <v>0</v>
      </c>
      <c r="BI207" s="350">
        <f t="shared" ref="BI207:BI209" ca="1" si="1176">SUM($K207:$V207)*$BB207</f>
        <v>0</v>
      </c>
      <c r="BJ207" s="275" t="str">
        <f ca="1">IF(ISERROR(HLOOKUP(BJ$10,INDIRECT(LOWER($AN207)&amp;"Price"),$BW207,FALSE)),"Да",HLOOKUP(BJ$10,INDIRECT(LOWER($AN207)&amp;"Price"),$BW207,FALSE))</f>
        <v>Да</v>
      </c>
      <c r="BK207" s="116">
        <f t="shared" ref="BK207:BV209" ca="1" si="1177">IF($BJ207="Особ.",INDEX(INDIRECT(LOWER($AN207)&amp;"Season2"),BK$9),IF($BJ207="Да",INDEX(INDIRECT(LOWER($AN207)&amp;"Season"),BK$9),100%))</f>
        <v>0.8</v>
      </c>
      <c r="BL207" s="117">
        <f t="shared" ca="1" si="1177"/>
        <v>0.9</v>
      </c>
      <c r="BM207" s="117">
        <f t="shared" ca="1" si="1177"/>
        <v>1</v>
      </c>
      <c r="BN207" s="117">
        <f t="shared" ca="1" si="1177"/>
        <v>1</v>
      </c>
      <c r="BO207" s="117">
        <f t="shared" ca="1" si="1177"/>
        <v>1</v>
      </c>
      <c r="BP207" s="117">
        <f t="shared" ca="1" si="1177"/>
        <v>1</v>
      </c>
      <c r="BQ207" s="117">
        <f t="shared" ca="1" si="1177"/>
        <v>0.9</v>
      </c>
      <c r="BR207" s="117">
        <f t="shared" ca="1" si="1177"/>
        <v>0.9</v>
      </c>
      <c r="BS207" s="117">
        <f t="shared" ca="1" si="1177"/>
        <v>1.3</v>
      </c>
      <c r="BT207" s="117">
        <f t="shared" ca="1" si="1177"/>
        <v>1.3</v>
      </c>
      <c r="BU207" s="117">
        <f t="shared" ca="1" si="1177"/>
        <v>1.3</v>
      </c>
      <c r="BV207" s="278">
        <f t="shared" ca="1" si="1177"/>
        <v>1.3</v>
      </c>
      <c r="BW207" s="280">
        <f t="shared" si="1076"/>
        <v>2</v>
      </c>
      <c r="BX207" s="118">
        <f>IF($AN207="Ya",100%,100%+extraDelayZ)</f>
        <v>1</v>
      </c>
      <c r="BY207" s="263">
        <f t="shared" ref="BY207:BY209" si="1178">(1+AA207)</f>
        <v>1</v>
      </c>
      <c r="BZ207" s="264">
        <f t="shared" ref="BZ207:BZ209" si="1179">(1+AB207)</f>
        <v>1</v>
      </c>
      <c r="CA207" s="264">
        <f t="shared" ref="CA207:CA209" si="1180">(1+AC207)</f>
        <v>1</v>
      </c>
      <c r="CB207" s="264">
        <f t="shared" ref="CB207:CB209" si="1181">(1+AD207)</f>
        <v>1</v>
      </c>
      <c r="CC207" s="264">
        <f t="shared" ref="CC207:CC209" si="1182">(1+AE207)</f>
        <v>1</v>
      </c>
      <c r="CD207" s="264">
        <f t="shared" ref="CD207:CD209" si="1183">(1+AF207)</f>
        <v>1</v>
      </c>
      <c r="CE207" s="264">
        <f t="shared" ref="CE207:CE209" si="1184">(1+AG207)</f>
        <v>1</v>
      </c>
      <c r="CF207" s="264">
        <f t="shared" ref="CF207:CF209" si="1185">(1+AH207)</f>
        <v>1</v>
      </c>
      <c r="CG207" s="264">
        <f t="shared" ref="CG207:CG209" si="1186">(1+AI207)</f>
        <v>1</v>
      </c>
      <c r="CH207" s="264">
        <f t="shared" ref="CH207:CH209" si="1187">(1+AJ207)</f>
        <v>1</v>
      </c>
      <c r="CI207" s="264">
        <f t="shared" ref="CI207:CI209" si="1188">(1+AK207)</f>
        <v>1</v>
      </c>
      <c r="CJ207" s="265">
        <f t="shared" ref="CJ207:CJ209" si="1189">(1+AL207)</f>
        <v>1</v>
      </c>
      <c r="CK207" s="269">
        <f t="array" ref="CK207">IF(ISERROR(SUM($K207:$V207*$BY207:$CJ207)/SUM($K207:$V207)),1,SUM($K207:$V207*$BY207:$CJ207)/SUM($K207:$V207))-1</f>
        <v>0</v>
      </c>
      <c r="CL207" s="234"/>
    </row>
    <row r="208" spans="1:90" ht="12.75" hidden="1" outlineLevel="1" x14ac:dyDescent="0.2">
      <c r="B208" s="404" t="str">
        <f t="shared" ca="1" si="1158"/>
        <v>Пакет "Бизнес", 240x400</v>
      </c>
      <c r="C208" s="649" t="str">
        <f t="shared" ca="1" si="1159"/>
        <v>Пакет</v>
      </c>
      <c r="D208" s="405">
        <f t="shared" ca="1" si="1160"/>
        <v>600</v>
      </c>
      <c r="E208" s="405">
        <f t="shared" ca="1" si="1161"/>
        <v>600</v>
      </c>
      <c r="F208" s="405">
        <f t="shared" ca="1" si="1162"/>
        <v>600</v>
      </c>
      <c r="G208" s="406">
        <f t="shared" ca="1" si="1163"/>
        <v>150000</v>
      </c>
      <c r="H208" s="406">
        <f t="shared" ca="1" si="1164"/>
        <v>150000</v>
      </c>
      <c r="I208" s="406">
        <f t="shared" ca="1" si="1165"/>
        <v>0</v>
      </c>
      <c r="J208" s="407">
        <f t="shared" ca="1" si="1166"/>
        <v>0</v>
      </c>
      <c r="K208" s="617"/>
      <c r="L208" s="618"/>
      <c r="M208" s="618"/>
      <c r="N208" s="618"/>
      <c r="O208" s="618"/>
      <c r="P208" s="618"/>
      <c r="Q208" s="618"/>
      <c r="R208" s="618"/>
      <c r="S208" s="618"/>
      <c r="T208" s="618"/>
      <c r="U208" s="618"/>
      <c r="V208" s="619"/>
      <c r="W208" s="406">
        <f t="shared" ca="1" si="1060"/>
        <v>0</v>
      </c>
      <c r="X208" s="406"/>
      <c r="Y208" s="411"/>
      <c r="Z208" s="412">
        <f t="shared" si="1167"/>
        <v>0</v>
      </c>
      <c r="AA208" s="620"/>
      <c r="AB208" s="620"/>
      <c r="AC208" s="620"/>
      <c r="AD208" s="620"/>
      <c r="AE208" s="620"/>
      <c r="AF208" s="620"/>
      <c r="AG208" s="620"/>
      <c r="AH208" s="620"/>
      <c r="AI208" s="620"/>
      <c r="AJ208" s="620"/>
      <c r="AK208" s="620"/>
      <c r="AL208" s="620"/>
      <c r="AM208" s="621"/>
      <c r="AN208" s="351" t="s">
        <v>131</v>
      </c>
      <c r="AO208" s="351" t="str">
        <f t="shared" si="1074"/>
        <v>Inopressa.ru</v>
      </c>
      <c r="AP208" s="115">
        <f t="shared" si="1156"/>
        <v>4</v>
      </c>
      <c r="AQ208" s="31" t="str">
        <f t="shared" ca="1" si="1168"/>
        <v>Вкл</v>
      </c>
      <c r="AR208" s="31" t="str">
        <f t="shared" ca="1" si="1168"/>
        <v>-</v>
      </c>
      <c r="AS208" s="35">
        <v>0</v>
      </c>
      <c r="AT208" s="229">
        <v>0</v>
      </c>
      <c r="AU208" s="344">
        <f t="shared" ca="1" si="1169"/>
        <v>600</v>
      </c>
      <c r="AV208" s="345">
        <f t="shared" ca="1" si="1170"/>
        <v>600</v>
      </c>
      <c r="AW208" s="346">
        <f t="shared" ca="1" si="1171"/>
        <v>600</v>
      </c>
      <c r="AX208" s="280"/>
      <c r="AY208" s="280"/>
      <c r="AZ208" s="347">
        <f t="shared" ca="1" si="1172"/>
        <v>150000</v>
      </c>
      <c r="BA208" s="348">
        <f t="shared" ca="1" si="1173"/>
        <v>150000</v>
      </c>
      <c r="BB208" s="347">
        <f t="shared" ca="1" si="1174"/>
        <v>250</v>
      </c>
      <c r="BC208" s="37" t="str">
        <f t="shared" ca="1" si="1174"/>
        <v>Пакет</v>
      </c>
      <c r="BD208" s="229" t="str">
        <f t="shared" ca="1" si="1175"/>
        <v>Пакет</v>
      </c>
      <c r="BE208" s="283">
        <f t="shared" ca="1" si="1075"/>
        <v>0</v>
      </c>
      <c r="BF208" s="347">
        <f t="array" aca="1" ref="BF208" ca="1">SUM($K208:$V208*$BK208:$BV208)*$AZ208</f>
        <v>0</v>
      </c>
      <c r="BG208" s="347">
        <f t="array" aca="1" ref="BG208" ca="1">SUM($K208:$V208*$BY208:$CJ208*$BK208:$BV208)*$AZ208*$BX208</f>
        <v>0</v>
      </c>
      <c r="BH208" s="347">
        <f t="array" aca="1" ref="BH208" ca="1">SUM($K208:$V208*$BY208:$CJ208*$BK208:$BV208)*(1-$BE208)*$AZ208*$BX208</f>
        <v>0</v>
      </c>
      <c r="BI208" s="350">
        <f t="shared" ca="1" si="1176"/>
        <v>0</v>
      </c>
      <c r="BJ208" s="275" t="str">
        <f ca="1">IF(ISERROR(HLOOKUP(BJ$10,INDIRECT(LOWER($AN208)&amp;"Price"),$BW208,FALSE)),"Да",HLOOKUP(BJ$10,INDIRECT(LOWER($AN208)&amp;"Price"),$BW208,FALSE))</f>
        <v>Да</v>
      </c>
      <c r="BK208" s="116">
        <f t="shared" ca="1" si="1177"/>
        <v>0.8</v>
      </c>
      <c r="BL208" s="117">
        <f t="shared" ca="1" si="1177"/>
        <v>0.9</v>
      </c>
      <c r="BM208" s="117">
        <f t="shared" ca="1" si="1177"/>
        <v>1</v>
      </c>
      <c r="BN208" s="117">
        <f t="shared" ca="1" si="1177"/>
        <v>1</v>
      </c>
      <c r="BO208" s="117">
        <f t="shared" ca="1" si="1177"/>
        <v>1</v>
      </c>
      <c r="BP208" s="117">
        <f t="shared" ca="1" si="1177"/>
        <v>1</v>
      </c>
      <c r="BQ208" s="117">
        <f t="shared" ca="1" si="1177"/>
        <v>0.9</v>
      </c>
      <c r="BR208" s="117">
        <f t="shared" ca="1" si="1177"/>
        <v>0.9</v>
      </c>
      <c r="BS208" s="117">
        <f t="shared" ca="1" si="1177"/>
        <v>1.3</v>
      </c>
      <c r="BT208" s="117">
        <f t="shared" ca="1" si="1177"/>
        <v>1.3</v>
      </c>
      <c r="BU208" s="117">
        <f t="shared" ca="1" si="1177"/>
        <v>1.3</v>
      </c>
      <c r="BV208" s="278">
        <f t="shared" ca="1" si="1177"/>
        <v>1.3</v>
      </c>
      <c r="BW208" s="280">
        <f t="shared" si="1076"/>
        <v>3</v>
      </c>
      <c r="BX208" s="118">
        <f>IF($AN208="Ya",100%,100%+extraDelayZ)</f>
        <v>1</v>
      </c>
      <c r="BY208" s="263">
        <f t="shared" si="1178"/>
        <v>1</v>
      </c>
      <c r="BZ208" s="264">
        <f t="shared" si="1179"/>
        <v>1</v>
      </c>
      <c r="CA208" s="264">
        <f t="shared" si="1180"/>
        <v>1</v>
      </c>
      <c r="CB208" s="264">
        <f t="shared" si="1181"/>
        <v>1</v>
      </c>
      <c r="CC208" s="264">
        <f t="shared" si="1182"/>
        <v>1</v>
      </c>
      <c r="CD208" s="264">
        <f t="shared" si="1183"/>
        <v>1</v>
      </c>
      <c r="CE208" s="264">
        <f t="shared" si="1184"/>
        <v>1</v>
      </c>
      <c r="CF208" s="264">
        <f t="shared" si="1185"/>
        <v>1</v>
      </c>
      <c r="CG208" s="264">
        <f t="shared" si="1186"/>
        <v>1</v>
      </c>
      <c r="CH208" s="264">
        <f t="shared" si="1187"/>
        <v>1</v>
      </c>
      <c r="CI208" s="264">
        <f t="shared" si="1188"/>
        <v>1</v>
      </c>
      <c r="CJ208" s="265">
        <f t="shared" si="1189"/>
        <v>1</v>
      </c>
      <c r="CK208" s="269">
        <f t="array" ref="CK208">IF(ISERROR(SUM($K208:$V208*$BY208:$CJ208)/SUM($K208:$V208)),1,SUM($K208:$V208*$BY208:$CJ208)/SUM($K208:$V208))-1</f>
        <v>0</v>
      </c>
      <c r="CL208" s="234"/>
    </row>
    <row r="209" spans="1:90" ht="12.75" hidden="1" outlineLevel="1" x14ac:dyDescent="0.2">
      <c r="B209" s="414" t="str">
        <f t="shared" ca="1" si="1158"/>
        <v>Пакет "Москва", 240x400</v>
      </c>
      <c r="C209" s="649" t="str">
        <f t="shared" ca="1" si="1159"/>
        <v>Пакет</v>
      </c>
      <c r="D209" s="415">
        <f t="shared" ca="1" si="1160"/>
        <v>700</v>
      </c>
      <c r="E209" s="415">
        <f t="shared" ca="1" si="1161"/>
        <v>700</v>
      </c>
      <c r="F209" s="415">
        <f t="shared" ca="1" si="1162"/>
        <v>700</v>
      </c>
      <c r="G209" s="416">
        <f t="shared" ca="1" si="1163"/>
        <v>70000</v>
      </c>
      <c r="H209" s="416">
        <f t="shared" ca="1" si="1164"/>
        <v>70000</v>
      </c>
      <c r="I209" s="406">
        <f t="shared" ca="1" si="1165"/>
        <v>0</v>
      </c>
      <c r="J209" s="407">
        <f t="shared" ca="1" si="1166"/>
        <v>0</v>
      </c>
      <c r="K209" s="622"/>
      <c r="L209" s="623"/>
      <c r="M209" s="623"/>
      <c r="N209" s="623"/>
      <c r="O209" s="623"/>
      <c r="P209" s="623"/>
      <c r="Q209" s="623"/>
      <c r="R209" s="623"/>
      <c r="S209" s="623"/>
      <c r="T209" s="623"/>
      <c r="U209" s="623"/>
      <c r="V209" s="624"/>
      <c r="W209" s="416">
        <f t="shared" ca="1" si="1060"/>
        <v>0</v>
      </c>
      <c r="X209" s="416"/>
      <c r="Y209" s="420"/>
      <c r="Z209" s="412">
        <f t="shared" si="1167"/>
        <v>0</v>
      </c>
      <c r="AA209" s="625"/>
      <c r="AB209" s="625"/>
      <c r="AC209" s="625"/>
      <c r="AD209" s="625"/>
      <c r="AE209" s="625"/>
      <c r="AF209" s="625"/>
      <c r="AG209" s="625"/>
      <c r="AH209" s="625"/>
      <c r="AI209" s="625"/>
      <c r="AJ209" s="625"/>
      <c r="AK209" s="625"/>
      <c r="AL209" s="625"/>
      <c r="AM209" s="626"/>
      <c r="AN209" s="351" t="s">
        <v>131</v>
      </c>
      <c r="AO209" s="351" t="str">
        <f t="shared" si="1074"/>
        <v>Inopressa.ru</v>
      </c>
      <c r="AP209" s="115">
        <f t="shared" si="1156"/>
        <v>4</v>
      </c>
      <c r="AQ209" s="31" t="str">
        <f t="shared" ca="1" si="1168"/>
        <v>Вкл</v>
      </c>
      <c r="AR209" s="31" t="str">
        <f t="shared" ca="1" si="1168"/>
        <v>-</v>
      </c>
      <c r="AS209" s="35">
        <v>0</v>
      </c>
      <c r="AT209" s="229">
        <v>0</v>
      </c>
      <c r="AU209" s="344">
        <f t="shared" ca="1" si="1169"/>
        <v>700</v>
      </c>
      <c r="AV209" s="345">
        <f t="shared" ca="1" si="1170"/>
        <v>700</v>
      </c>
      <c r="AW209" s="346">
        <f t="shared" ca="1" si="1171"/>
        <v>700</v>
      </c>
      <c r="AX209" s="280"/>
      <c r="AY209" s="280"/>
      <c r="AZ209" s="347">
        <f t="shared" ca="1" si="1172"/>
        <v>70000</v>
      </c>
      <c r="BA209" s="348">
        <f t="shared" ca="1" si="1173"/>
        <v>70000</v>
      </c>
      <c r="BB209" s="347">
        <f t="shared" ca="1" si="1174"/>
        <v>100</v>
      </c>
      <c r="BC209" s="37" t="str">
        <f t="shared" ca="1" si="1174"/>
        <v>Пакет</v>
      </c>
      <c r="BD209" s="229" t="str">
        <f t="shared" ca="1" si="1175"/>
        <v>Пакет</v>
      </c>
      <c r="BE209" s="283">
        <f t="shared" ca="1" si="1075"/>
        <v>0</v>
      </c>
      <c r="BF209" s="347">
        <f t="array" aca="1" ref="BF209" ca="1">SUM($K209:$V209*$BK209:$BV209)*$AZ209</f>
        <v>0</v>
      </c>
      <c r="BG209" s="347">
        <f t="array" aca="1" ref="BG209" ca="1">SUM($K209:$V209*$BY209:$CJ209*$BK209:$BV209)*$AZ209*$BX209</f>
        <v>0</v>
      </c>
      <c r="BH209" s="347">
        <f t="array" aca="1" ref="BH209" ca="1">SUM($K209:$V209*$BY209:$CJ209*$BK209:$BV209)*(1-$BE209)*$AZ209*$BX209</f>
        <v>0</v>
      </c>
      <c r="BI209" s="350">
        <f t="shared" ca="1" si="1176"/>
        <v>0</v>
      </c>
      <c r="BJ209" s="275" t="str">
        <f ca="1">IF(ISERROR(HLOOKUP(BJ$10,INDIRECT(LOWER($AN209)&amp;"Price"),$BW209,FALSE)),"Да",HLOOKUP(BJ$10,INDIRECT(LOWER($AN209)&amp;"Price"),$BW209,FALSE))</f>
        <v>Да</v>
      </c>
      <c r="BK209" s="116">
        <f t="shared" ca="1" si="1177"/>
        <v>0.8</v>
      </c>
      <c r="BL209" s="117">
        <f t="shared" ca="1" si="1177"/>
        <v>0.9</v>
      </c>
      <c r="BM209" s="117">
        <f t="shared" ca="1" si="1177"/>
        <v>1</v>
      </c>
      <c r="BN209" s="117">
        <f t="shared" ca="1" si="1177"/>
        <v>1</v>
      </c>
      <c r="BO209" s="117">
        <f t="shared" ca="1" si="1177"/>
        <v>1</v>
      </c>
      <c r="BP209" s="117">
        <f t="shared" ca="1" si="1177"/>
        <v>1</v>
      </c>
      <c r="BQ209" s="117">
        <f t="shared" ca="1" si="1177"/>
        <v>0.9</v>
      </c>
      <c r="BR209" s="117">
        <f t="shared" ca="1" si="1177"/>
        <v>0.9</v>
      </c>
      <c r="BS209" s="117">
        <f t="shared" ca="1" si="1177"/>
        <v>1.3</v>
      </c>
      <c r="BT209" s="117">
        <f t="shared" ca="1" si="1177"/>
        <v>1.3</v>
      </c>
      <c r="BU209" s="117">
        <f t="shared" ca="1" si="1177"/>
        <v>1.3</v>
      </c>
      <c r="BV209" s="278">
        <f t="shared" ca="1" si="1177"/>
        <v>1.3</v>
      </c>
      <c r="BW209" s="280">
        <f t="shared" si="1076"/>
        <v>4</v>
      </c>
      <c r="BX209" s="118">
        <f>IF($AN209="Ya",100%,100%+extraDelayZ)</f>
        <v>1</v>
      </c>
      <c r="BY209" s="263">
        <f t="shared" si="1178"/>
        <v>1</v>
      </c>
      <c r="BZ209" s="264">
        <f t="shared" si="1179"/>
        <v>1</v>
      </c>
      <c r="CA209" s="264">
        <f t="shared" si="1180"/>
        <v>1</v>
      </c>
      <c r="CB209" s="264">
        <f t="shared" si="1181"/>
        <v>1</v>
      </c>
      <c r="CC209" s="264">
        <f t="shared" si="1182"/>
        <v>1</v>
      </c>
      <c r="CD209" s="264">
        <f t="shared" si="1183"/>
        <v>1</v>
      </c>
      <c r="CE209" s="264">
        <f t="shared" si="1184"/>
        <v>1</v>
      </c>
      <c r="CF209" s="264">
        <f t="shared" si="1185"/>
        <v>1</v>
      </c>
      <c r="CG209" s="264">
        <f t="shared" si="1186"/>
        <v>1</v>
      </c>
      <c r="CH209" s="264">
        <f t="shared" si="1187"/>
        <v>1</v>
      </c>
      <c r="CI209" s="264">
        <f t="shared" si="1188"/>
        <v>1</v>
      </c>
      <c r="CJ209" s="265">
        <f t="shared" si="1189"/>
        <v>1</v>
      </c>
      <c r="CK209" s="269">
        <f t="array" ref="CK209">IF(ISERROR(SUM($K209:$V209*$BY209:$CJ209)/SUM($K209:$V209)),1,SUM($K209:$V209*$BY209:$CJ209)/SUM($K209:$V209))-1</f>
        <v>0</v>
      </c>
      <c r="CL209" s="234"/>
    </row>
    <row r="210" spans="1:90" ht="15" collapsed="1" x14ac:dyDescent="0.2">
      <c r="A210" s="391"/>
      <c r="B210" s="392" t="str">
        <f>CONCATENATE($AO210,IF($AX210&gt;0,CONCATENATE("  (план ",TEXT(INDEX(indBudX,MATCH($AN210,indPrefixX,0)),"# ##0")," руб.)"),""))</f>
        <v>Liveinternet.ru</v>
      </c>
      <c r="C210" s="650" t="s">
        <v>363</v>
      </c>
      <c r="D210" s="393"/>
      <c r="E210" s="394"/>
      <c r="F210" s="394"/>
      <c r="G210" s="395"/>
      <c r="H210" s="395"/>
      <c r="I210" s="395">
        <f t="shared" ca="1" si="1165"/>
        <v>0</v>
      </c>
      <c r="J210" s="396">
        <f ca="1">$BH210</f>
        <v>0</v>
      </c>
      <c r="K210" s="397"/>
      <c r="L210" s="398"/>
      <c r="M210" s="398"/>
      <c r="N210" s="398"/>
      <c r="O210" s="398"/>
      <c r="P210" s="398"/>
      <c r="Q210" s="398"/>
      <c r="R210" s="398"/>
      <c r="S210" s="398"/>
      <c r="T210" s="398"/>
      <c r="U210" s="398"/>
      <c r="V210" s="399"/>
      <c r="W210" s="395">
        <f t="shared" ca="1" si="1060"/>
        <v>0</v>
      </c>
      <c r="X210" s="576"/>
      <c r="Y210" s="400">
        <f ca="1">$BE210</f>
        <v>0</v>
      </c>
      <c r="Z210" s="401"/>
      <c r="AA210" s="402"/>
      <c r="AB210" s="402"/>
      <c r="AC210" s="402"/>
      <c r="AD210" s="402"/>
      <c r="AE210" s="402"/>
      <c r="AF210" s="402"/>
      <c r="AG210" s="402"/>
      <c r="AH210" s="402"/>
      <c r="AI210" s="402"/>
      <c r="AJ210" s="402"/>
      <c r="AK210" s="402"/>
      <c r="AL210" s="402"/>
      <c r="AM210" s="403"/>
      <c r="AN210" s="130" t="s">
        <v>133</v>
      </c>
      <c r="AO210" s="130" t="str">
        <f t="shared" si="1074"/>
        <v>Liveinternet.ru</v>
      </c>
      <c r="AP210" s="119">
        <f t="shared" si="1156"/>
        <v>17</v>
      </c>
      <c r="AQ210" s="120"/>
      <c r="AR210" s="120"/>
      <c r="AS210" s="121"/>
      <c r="AT210" s="228"/>
      <c r="AU210" s="232"/>
      <c r="AV210" s="179"/>
      <c r="AW210" s="233"/>
      <c r="AX210" s="279">
        <f>IF(ISERROR(INDEX(indBudX,MATCH($AN210,indPrefixX,0))),0,INDEX(indBudX,MATCH($AN210,indPrefixX,0)))</f>
        <v>0</v>
      </c>
      <c r="AY210" s="279">
        <f>IF(ISNUMBER($X210),$X210,0)</f>
        <v>0</v>
      </c>
      <c r="AZ210" s="123"/>
      <c r="BA210" s="125"/>
      <c r="BB210" s="123"/>
      <c r="BC210" s="124"/>
      <c r="BD210" s="464"/>
      <c r="BE210" s="282">
        <f t="shared" ca="1" si="1075"/>
        <v>0</v>
      </c>
      <c r="BF210" s="123">
        <f t="shared" ref="BF210:BI210" ca="1" si="1190">SUM(OFFSET(BF210,1,0,$AP210-1,1))</f>
        <v>0</v>
      </c>
      <c r="BG210" s="123">
        <f t="shared" ca="1" si="1190"/>
        <v>0</v>
      </c>
      <c r="BH210" s="123">
        <f t="shared" ca="1" si="1190"/>
        <v>0</v>
      </c>
      <c r="BI210" s="273">
        <f t="shared" ca="1" si="1190"/>
        <v>0</v>
      </c>
      <c r="BJ210" s="274"/>
      <c r="BK210" s="126"/>
      <c r="BL210" s="127"/>
      <c r="BM210" s="127"/>
      <c r="BN210" s="127"/>
      <c r="BO210" s="127"/>
      <c r="BP210" s="127"/>
      <c r="BQ210" s="127"/>
      <c r="BR210" s="127"/>
      <c r="BS210" s="127"/>
      <c r="BT210" s="127"/>
      <c r="BU210" s="127"/>
      <c r="BV210" s="277"/>
      <c r="BW210" s="279">
        <f t="shared" si="1076"/>
        <v>1</v>
      </c>
      <c r="BX210" s="128"/>
      <c r="BY210" s="260"/>
      <c r="BZ210" s="261"/>
      <c r="CA210" s="261"/>
      <c r="CB210" s="261"/>
      <c r="CC210" s="261"/>
      <c r="CD210" s="261"/>
      <c r="CE210" s="261"/>
      <c r="CF210" s="261"/>
      <c r="CG210" s="261"/>
      <c r="CH210" s="261"/>
      <c r="CI210" s="261"/>
      <c r="CJ210" s="262"/>
      <c r="CK210" s="270"/>
      <c r="CL210" s="234"/>
    </row>
    <row r="211" spans="1:90" ht="12.75" hidden="1" outlineLevel="1" x14ac:dyDescent="0.2">
      <c r="B211" s="404" t="str">
        <f t="shared" ref="B211:B226" ca="1" si="1191">INDEX(INDIRECT(LOWER($AN211)&amp;"Price"),$BW211,2)</f>
        <v>Главная сайта, главная Блогов,  728x90</v>
      </c>
      <c r="C211" s="649" t="str">
        <f t="shared" ref="C211:C226" ca="1" si="1192">$BD211</f>
        <v>х1000</v>
      </c>
      <c r="D211" s="405">
        <f t="shared" ref="D211:D226" ca="1" si="1193">$AU211</f>
        <v>105</v>
      </c>
      <c r="E211" s="405">
        <f t="shared" ref="E211:E226" ca="1" si="1194">$AV211</f>
        <v>105</v>
      </c>
      <c r="F211" s="405">
        <f t="shared" ref="F211:F226" ca="1" si="1195">$AW211</f>
        <v>105</v>
      </c>
      <c r="G211" s="406">
        <f t="shared" ref="G211:G226" ca="1" si="1196">$AZ211</f>
        <v>105</v>
      </c>
      <c r="H211" s="406">
        <f t="shared" ref="H211:H226" ca="1" si="1197">$BA211</f>
        <v>105</v>
      </c>
      <c r="I211" s="406">
        <f t="shared" ref="I211:I226" ca="1" si="1198">$BG211</f>
        <v>0</v>
      </c>
      <c r="J211" s="407">
        <f t="shared" ref="J211:J226" ca="1" si="1199">$BH211</f>
        <v>0</v>
      </c>
      <c r="K211" s="408"/>
      <c r="L211" s="409"/>
      <c r="M211" s="409"/>
      <c r="N211" s="409"/>
      <c r="O211" s="409"/>
      <c r="P211" s="409"/>
      <c r="Q211" s="409"/>
      <c r="R211" s="409"/>
      <c r="S211" s="409"/>
      <c r="T211" s="409"/>
      <c r="U211" s="409"/>
      <c r="V211" s="410"/>
      <c r="W211" s="406">
        <f t="shared" ca="1" si="1060"/>
        <v>0</v>
      </c>
      <c r="X211" s="406"/>
      <c r="Y211" s="411"/>
      <c r="Z211" s="412">
        <f t="shared" ref="Z211:Z226" si="1200">CK211</f>
        <v>0</v>
      </c>
      <c r="AA211" s="413"/>
      <c r="AB211" s="413"/>
      <c r="AC211" s="413"/>
      <c r="AD211" s="413"/>
      <c r="AE211" s="413"/>
      <c r="AF211" s="413"/>
      <c r="AG211" s="413"/>
      <c r="AH211" s="413"/>
      <c r="AI211" s="413"/>
      <c r="AJ211" s="413"/>
      <c r="AK211" s="413"/>
      <c r="AL211" s="413"/>
      <c r="AM211" s="572"/>
      <c r="AN211" s="351" t="s">
        <v>133</v>
      </c>
      <c r="AO211" s="351" t="str">
        <f t="shared" si="1074"/>
        <v>Liveinternet.ru</v>
      </c>
      <c r="AP211" s="115">
        <f t="shared" si="1156"/>
        <v>17</v>
      </c>
      <c r="AQ211" s="31">
        <f t="shared" ref="AQ211:AR226" ca="1" si="1201">HLOOKUP(AQ$10,INDIRECT(LOWER($AN211)&amp;"Price"),$BW211,FALSE)</f>
        <v>0.25</v>
      </c>
      <c r="AR211" s="31">
        <f t="shared" ca="1" si="1201"/>
        <v>0.15</v>
      </c>
      <c r="AS211" s="35">
        <v>0</v>
      </c>
      <c r="AT211" s="229">
        <v>0</v>
      </c>
      <c r="AU211" s="344">
        <f t="shared" ref="AU211:AU226" ca="1" si="1202">HLOOKUP(AU$10,INDIRECT(LOWER($AN211)&amp;"Price"),$BW211,FALSE)</f>
        <v>105</v>
      </c>
      <c r="AV211" s="345">
        <f t="shared" ref="AV211:AV226" ca="1" si="1203">IF(ISERROR($BG211/$BI211),$AU211,$BG211/$BI211)</f>
        <v>105</v>
      </c>
      <c r="AW211" s="346">
        <f t="shared" ref="AW211:AW226" ca="1" si="1204">$AV211*(1-$BE211)</f>
        <v>105</v>
      </c>
      <c r="AX211" s="280"/>
      <c r="AY211" s="280"/>
      <c r="AZ211" s="347">
        <f t="shared" ref="AZ211:AZ226" ca="1" si="1205">HLOOKUP(AZ$10,INDIRECT(LOWER($AN211)&amp;"Price"),$BW211,FALSE)</f>
        <v>105</v>
      </c>
      <c r="BA211" s="348">
        <f t="shared" ref="BA211:BA226" ca="1" si="1206">$AZ211*(1-$BE211)</f>
        <v>105</v>
      </c>
      <c r="BB211" s="347">
        <f t="shared" ref="BB211:BC226" ca="1" si="1207">HLOOKUP(BB$10,INDIRECT(LOWER($AN211)&amp;"Price"),$BW211,FALSE)</f>
        <v>1</v>
      </c>
      <c r="BC211" s="37" t="str">
        <f t="shared" ca="1" si="1207"/>
        <v>1000 контактов</v>
      </c>
      <c r="BD211" s="229" t="str">
        <f t="shared" ref="BD211:BD226" ca="1" si="1208">IF(ISERROR(VLOOKUP($BC211,typeIndexPair,2,FALSE)),"",VLOOKUP($BC211,typeIndexPair,2,FALSE))</f>
        <v>х1000</v>
      </c>
      <c r="BE211" s="283">
        <f t="shared" ca="1" si="1075"/>
        <v>0</v>
      </c>
      <c r="BF211" s="347">
        <f t="array" aca="1" ref="BF211" ca="1">SUM($K211:$V211*$BK211:$BV211)*$AZ211</f>
        <v>0</v>
      </c>
      <c r="BG211" s="347">
        <f t="array" aca="1" ref="BG211" ca="1">SUM($K211:$V211*$BY211:$CJ211*$BK211:$BV211)*$AZ211*$BX211</f>
        <v>0</v>
      </c>
      <c r="BH211" s="347">
        <f t="array" aca="1" ref="BH211" ca="1">SUM($K211:$V211*$BY211:$CJ211*$BK211:$BV211)*(1-$BE211)*$AZ211*$BX211</f>
        <v>0</v>
      </c>
      <c r="BI211" s="350">
        <f t="shared" ref="BI211:BI226" ca="1" si="1209">SUM($K211:$V211)*$BB211</f>
        <v>0</v>
      </c>
      <c r="BJ211" s="275" t="str">
        <f t="shared" ref="BJ211:BJ226" ca="1" si="1210">IF(ISERROR(HLOOKUP(BJ$10,INDIRECT(LOWER($AN211)&amp;"Price"),$BW211,FALSE)),"Да",HLOOKUP(BJ$10,INDIRECT(LOWER($AN211)&amp;"Price"),$BW211,FALSE))</f>
        <v>Да</v>
      </c>
      <c r="BK211" s="116">
        <f t="shared" ref="BK211:BV226" ca="1" si="1211">IF($BJ211="Особ.",INDEX(INDIRECT(LOWER($AN211)&amp;"Season2"),BK$9),IF($BJ211="Да",INDEX(INDIRECT(LOWER($AN211)&amp;"Season"),BK$9),100%))</f>
        <v>0.8</v>
      </c>
      <c r="BL211" s="117">
        <f t="shared" ca="1" si="1211"/>
        <v>0.9</v>
      </c>
      <c r="BM211" s="117">
        <f t="shared" ca="1" si="1211"/>
        <v>1</v>
      </c>
      <c r="BN211" s="117">
        <f t="shared" ca="1" si="1211"/>
        <v>1</v>
      </c>
      <c r="BO211" s="117">
        <f t="shared" ca="1" si="1211"/>
        <v>1</v>
      </c>
      <c r="BP211" s="117">
        <f t="shared" ca="1" si="1211"/>
        <v>1</v>
      </c>
      <c r="BQ211" s="117">
        <f t="shared" ca="1" si="1211"/>
        <v>0.9</v>
      </c>
      <c r="BR211" s="117">
        <f t="shared" ca="1" si="1211"/>
        <v>0.9</v>
      </c>
      <c r="BS211" s="117">
        <f t="shared" ca="1" si="1211"/>
        <v>1.3</v>
      </c>
      <c r="BT211" s="117">
        <f t="shared" ca="1" si="1211"/>
        <v>1.3</v>
      </c>
      <c r="BU211" s="117">
        <f t="shared" ca="1" si="1211"/>
        <v>1.3</v>
      </c>
      <c r="BV211" s="278">
        <f t="shared" ca="1" si="1211"/>
        <v>1.3</v>
      </c>
      <c r="BW211" s="280">
        <f t="shared" si="1076"/>
        <v>2</v>
      </c>
      <c r="BX211" s="118">
        <f>IF($AN211="Ya",100%,100%+extraDelayZ)</f>
        <v>1</v>
      </c>
      <c r="BY211" s="263">
        <f t="shared" ref="BY211:BY226" si="1212">(1+AA211)</f>
        <v>1</v>
      </c>
      <c r="BZ211" s="264">
        <f t="shared" ref="BZ211:BZ226" si="1213">(1+AB211)</f>
        <v>1</v>
      </c>
      <c r="CA211" s="264">
        <f t="shared" ref="CA211:CA226" si="1214">(1+AC211)</f>
        <v>1</v>
      </c>
      <c r="CB211" s="264">
        <f t="shared" ref="CB211:CB226" si="1215">(1+AD211)</f>
        <v>1</v>
      </c>
      <c r="CC211" s="264">
        <f t="shared" ref="CC211:CC226" si="1216">(1+AE211)</f>
        <v>1</v>
      </c>
      <c r="CD211" s="264">
        <f t="shared" ref="CD211:CD226" si="1217">(1+AF211)</f>
        <v>1</v>
      </c>
      <c r="CE211" s="264">
        <f t="shared" ref="CE211:CE226" si="1218">(1+AG211)</f>
        <v>1</v>
      </c>
      <c r="CF211" s="264">
        <f t="shared" ref="CF211:CF226" si="1219">(1+AH211)</f>
        <v>1</v>
      </c>
      <c r="CG211" s="264">
        <f t="shared" ref="CG211:CG226" si="1220">(1+AI211)</f>
        <v>1</v>
      </c>
      <c r="CH211" s="264">
        <f t="shared" ref="CH211:CH226" si="1221">(1+AJ211)</f>
        <v>1</v>
      </c>
      <c r="CI211" s="264">
        <f t="shared" ref="CI211:CI226" si="1222">(1+AK211)</f>
        <v>1</v>
      </c>
      <c r="CJ211" s="265">
        <f t="shared" ref="CJ211:CJ226" si="1223">(1+AL211)</f>
        <v>1</v>
      </c>
      <c r="CK211" s="269">
        <f t="array" ref="CK211">IF(ISERROR(SUM($K211:$V211*$BY211:$CJ211)/SUM($K211:$V211)),1,SUM($K211:$V211*$BY211:$CJ211)/SUM($K211:$V211))-1</f>
        <v>0</v>
      </c>
      <c r="CL211" s="234"/>
    </row>
    <row r="212" spans="1:90" ht="12.75" hidden="1" outlineLevel="1" x14ac:dyDescent="0.2">
      <c r="B212" s="404" t="str">
        <f t="shared" ca="1" si="1191"/>
        <v>Все страницы Блогов, 728x90</v>
      </c>
      <c r="C212" s="649" t="str">
        <f t="shared" ca="1" si="1192"/>
        <v>х1000</v>
      </c>
      <c r="D212" s="405">
        <f t="shared" ca="1" si="1193"/>
        <v>56</v>
      </c>
      <c r="E212" s="405">
        <f t="shared" ca="1" si="1194"/>
        <v>56</v>
      </c>
      <c r="F212" s="405">
        <f t="shared" ca="1" si="1195"/>
        <v>56</v>
      </c>
      <c r="G212" s="406">
        <f t="shared" ca="1" si="1196"/>
        <v>56</v>
      </c>
      <c r="H212" s="406">
        <f t="shared" ca="1" si="1197"/>
        <v>56</v>
      </c>
      <c r="I212" s="406">
        <f t="shared" ca="1" si="1198"/>
        <v>0</v>
      </c>
      <c r="J212" s="407">
        <f t="shared" ca="1" si="1199"/>
        <v>0</v>
      </c>
      <c r="K212" s="408"/>
      <c r="L212" s="409"/>
      <c r="M212" s="409"/>
      <c r="N212" s="409"/>
      <c r="O212" s="409"/>
      <c r="P212" s="409"/>
      <c r="Q212" s="409"/>
      <c r="R212" s="409"/>
      <c r="S212" s="409"/>
      <c r="T212" s="409"/>
      <c r="U212" s="409"/>
      <c r="V212" s="410"/>
      <c r="W212" s="406">
        <f t="shared" ca="1" si="1060"/>
        <v>0</v>
      </c>
      <c r="X212" s="406"/>
      <c r="Y212" s="411"/>
      <c r="Z212" s="412">
        <f t="shared" si="1200"/>
        <v>0</v>
      </c>
      <c r="AA212" s="413"/>
      <c r="AB212" s="413"/>
      <c r="AC212" s="413"/>
      <c r="AD212" s="413"/>
      <c r="AE212" s="413"/>
      <c r="AF212" s="413"/>
      <c r="AG212" s="413"/>
      <c r="AH212" s="413"/>
      <c r="AI212" s="413"/>
      <c r="AJ212" s="413"/>
      <c r="AK212" s="413"/>
      <c r="AL212" s="413"/>
      <c r="AM212" s="572"/>
      <c r="AN212" s="351" t="s">
        <v>133</v>
      </c>
      <c r="AO212" s="351" t="str">
        <f t="shared" si="1074"/>
        <v>Liveinternet.ru</v>
      </c>
      <c r="AP212" s="115">
        <f t="shared" si="1156"/>
        <v>17</v>
      </c>
      <c r="AQ212" s="31">
        <f t="shared" ca="1" si="1201"/>
        <v>0.25</v>
      </c>
      <c r="AR212" s="31">
        <f t="shared" ca="1" si="1201"/>
        <v>0.15</v>
      </c>
      <c r="AS212" s="35">
        <v>0</v>
      </c>
      <c r="AT212" s="229">
        <v>0</v>
      </c>
      <c r="AU212" s="344">
        <f t="shared" ca="1" si="1202"/>
        <v>56</v>
      </c>
      <c r="AV212" s="345">
        <f t="shared" ca="1" si="1203"/>
        <v>56</v>
      </c>
      <c r="AW212" s="346">
        <f t="shared" ca="1" si="1204"/>
        <v>56</v>
      </c>
      <c r="AX212" s="280"/>
      <c r="AY212" s="280"/>
      <c r="AZ212" s="347">
        <f t="shared" ca="1" si="1205"/>
        <v>56</v>
      </c>
      <c r="BA212" s="348">
        <f t="shared" ca="1" si="1206"/>
        <v>56</v>
      </c>
      <c r="BB212" s="347">
        <f t="shared" ca="1" si="1207"/>
        <v>1</v>
      </c>
      <c r="BC212" s="37" t="str">
        <f t="shared" ca="1" si="1207"/>
        <v>1000 контактов</v>
      </c>
      <c r="BD212" s="229" t="str">
        <f t="shared" ca="1" si="1208"/>
        <v>х1000</v>
      </c>
      <c r="BE212" s="283">
        <f t="shared" ca="1" si="1075"/>
        <v>0</v>
      </c>
      <c r="BF212" s="347">
        <f t="array" aca="1" ref="BF212" ca="1">SUM($K212:$V212*$BK212:$BV212)*$AZ212</f>
        <v>0</v>
      </c>
      <c r="BG212" s="347">
        <f t="array" aca="1" ref="BG212" ca="1">SUM($K212:$V212*$BY212:$CJ212*$BK212:$BV212)*$AZ212*$BX212</f>
        <v>0</v>
      </c>
      <c r="BH212" s="347">
        <f t="array" aca="1" ref="BH212" ca="1">SUM($K212:$V212*$BY212:$CJ212*$BK212:$BV212)*(1-$BE212)*$AZ212*$BX212</f>
        <v>0</v>
      </c>
      <c r="BI212" s="350">
        <f t="shared" ca="1" si="1209"/>
        <v>0</v>
      </c>
      <c r="BJ212" s="275" t="str">
        <f t="shared" ca="1" si="1210"/>
        <v>Да</v>
      </c>
      <c r="BK212" s="116">
        <f t="shared" ca="1" si="1211"/>
        <v>0.8</v>
      </c>
      <c r="BL212" s="117">
        <f t="shared" ca="1" si="1211"/>
        <v>0.9</v>
      </c>
      <c r="BM212" s="117">
        <f t="shared" ca="1" si="1211"/>
        <v>1</v>
      </c>
      <c r="BN212" s="117">
        <f t="shared" ca="1" si="1211"/>
        <v>1</v>
      </c>
      <c r="BO212" s="117">
        <f t="shared" ca="1" si="1211"/>
        <v>1</v>
      </c>
      <c r="BP212" s="117">
        <f t="shared" ca="1" si="1211"/>
        <v>1</v>
      </c>
      <c r="BQ212" s="117">
        <f t="shared" ca="1" si="1211"/>
        <v>0.9</v>
      </c>
      <c r="BR212" s="117">
        <f t="shared" ca="1" si="1211"/>
        <v>0.9</v>
      </c>
      <c r="BS212" s="117">
        <f t="shared" ca="1" si="1211"/>
        <v>1.3</v>
      </c>
      <c r="BT212" s="117">
        <f t="shared" ca="1" si="1211"/>
        <v>1.3</v>
      </c>
      <c r="BU212" s="117">
        <f t="shared" ca="1" si="1211"/>
        <v>1.3</v>
      </c>
      <c r="BV212" s="278">
        <f t="shared" ca="1" si="1211"/>
        <v>1.3</v>
      </c>
      <c r="BW212" s="280">
        <f t="shared" si="1076"/>
        <v>3</v>
      </c>
      <c r="BX212" s="118">
        <f>IF($AN212="Ya",100%,100%+extraDelayZ)</f>
        <v>1</v>
      </c>
      <c r="BY212" s="263">
        <f t="shared" si="1212"/>
        <v>1</v>
      </c>
      <c r="BZ212" s="264">
        <f t="shared" si="1213"/>
        <v>1</v>
      </c>
      <c r="CA212" s="264">
        <f t="shared" si="1214"/>
        <v>1</v>
      </c>
      <c r="CB212" s="264">
        <f t="shared" si="1215"/>
        <v>1</v>
      </c>
      <c r="CC212" s="264">
        <f t="shared" si="1216"/>
        <v>1</v>
      </c>
      <c r="CD212" s="264">
        <f t="shared" si="1217"/>
        <v>1</v>
      </c>
      <c r="CE212" s="264">
        <f t="shared" si="1218"/>
        <v>1</v>
      </c>
      <c r="CF212" s="264">
        <f t="shared" si="1219"/>
        <v>1</v>
      </c>
      <c r="CG212" s="264">
        <f t="shared" si="1220"/>
        <v>1</v>
      </c>
      <c r="CH212" s="264">
        <f t="shared" si="1221"/>
        <v>1</v>
      </c>
      <c r="CI212" s="264">
        <f t="shared" si="1222"/>
        <v>1</v>
      </c>
      <c r="CJ212" s="265">
        <f t="shared" si="1223"/>
        <v>1</v>
      </c>
      <c r="CK212" s="269">
        <f t="array" ref="CK212">IF(ISERROR(SUM($K212:$V212*$BY212:$CJ212)/SUM($K212:$V212)),1,SUM($K212:$V212*$BY212:$CJ212)/SUM($K212:$V212))-1</f>
        <v>0</v>
      </c>
      <c r="CL212" s="234"/>
    </row>
    <row r="213" spans="1:90" ht="12.75" hidden="1" outlineLevel="1" x14ac:dyDescent="0.2">
      <c r="B213" s="404" t="str">
        <f t="shared" ca="1" si="1191"/>
        <v>Все страницы Блогов,  240х400</v>
      </c>
      <c r="C213" s="649" t="str">
        <f t="shared" ca="1" si="1192"/>
        <v>х1000</v>
      </c>
      <c r="D213" s="405">
        <f t="shared" ca="1" si="1193"/>
        <v>70</v>
      </c>
      <c r="E213" s="405">
        <f t="shared" ca="1" si="1194"/>
        <v>70</v>
      </c>
      <c r="F213" s="405">
        <f t="shared" ca="1" si="1195"/>
        <v>70</v>
      </c>
      <c r="G213" s="406">
        <f t="shared" ca="1" si="1196"/>
        <v>70</v>
      </c>
      <c r="H213" s="406">
        <f t="shared" ca="1" si="1197"/>
        <v>70</v>
      </c>
      <c r="I213" s="406">
        <f t="shared" ca="1" si="1198"/>
        <v>0</v>
      </c>
      <c r="J213" s="407">
        <f t="shared" ca="1" si="1199"/>
        <v>0</v>
      </c>
      <c r="K213" s="408"/>
      <c r="L213" s="409"/>
      <c r="M213" s="409"/>
      <c r="N213" s="409"/>
      <c r="O213" s="409"/>
      <c r="P213" s="409"/>
      <c r="Q213" s="409"/>
      <c r="R213" s="409"/>
      <c r="S213" s="409"/>
      <c r="T213" s="409"/>
      <c r="U213" s="409"/>
      <c r="V213" s="410"/>
      <c r="W213" s="406">
        <f t="shared" ca="1" si="1060"/>
        <v>0</v>
      </c>
      <c r="X213" s="406"/>
      <c r="Y213" s="411"/>
      <c r="Z213" s="412">
        <f t="shared" si="1200"/>
        <v>0</v>
      </c>
      <c r="AA213" s="413"/>
      <c r="AB213" s="413"/>
      <c r="AC213" s="413"/>
      <c r="AD213" s="413"/>
      <c r="AE213" s="413"/>
      <c r="AF213" s="413"/>
      <c r="AG213" s="413"/>
      <c r="AH213" s="413"/>
      <c r="AI213" s="413"/>
      <c r="AJ213" s="413"/>
      <c r="AK213" s="413"/>
      <c r="AL213" s="413"/>
      <c r="AM213" s="572"/>
      <c r="AN213" s="351" t="s">
        <v>133</v>
      </c>
      <c r="AO213" s="351" t="str">
        <f t="shared" si="1074"/>
        <v>Liveinternet.ru</v>
      </c>
      <c r="AP213" s="115">
        <f t="shared" si="1156"/>
        <v>17</v>
      </c>
      <c r="AQ213" s="31">
        <f t="shared" ca="1" si="1201"/>
        <v>0.25</v>
      </c>
      <c r="AR213" s="31">
        <f t="shared" ca="1" si="1201"/>
        <v>0.15</v>
      </c>
      <c r="AS213" s="35">
        <v>0</v>
      </c>
      <c r="AT213" s="229">
        <v>0</v>
      </c>
      <c r="AU213" s="344">
        <f t="shared" ca="1" si="1202"/>
        <v>70</v>
      </c>
      <c r="AV213" s="345">
        <f t="shared" ca="1" si="1203"/>
        <v>70</v>
      </c>
      <c r="AW213" s="346">
        <f t="shared" ca="1" si="1204"/>
        <v>70</v>
      </c>
      <c r="AX213" s="280"/>
      <c r="AY213" s="280"/>
      <c r="AZ213" s="347">
        <f t="shared" ca="1" si="1205"/>
        <v>70</v>
      </c>
      <c r="BA213" s="348">
        <f t="shared" ca="1" si="1206"/>
        <v>70</v>
      </c>
      <c r="BB213" s="347">
        <f t="shared" ca="1" si="1207"/>
        <v>1</v>
      </c>
      <c r="BC213" s="37" t="str">
        <f t="shared" ca="1" si="1207"/>
        <v>1000 контактов</v>
      </c>
      <c r="BD213" s="229" t="str">
        <f t="shared" ca="1" si="1208"/>
        <v>х1000</v>
      </c>
      <c r="BE213" s="283">
        <f t="shared" ca="1" si="1075"/>
        <v>0</v>
      </c>
      <c r="BF213" s="347">
        <f t="array" aca="1" ref="BF213" ca="1">SUM($K213:$V213*$BK213:$BV213)*$AZ213</f>
        <v>0</v>
      </c>
      <c r="BG213" s="347">
        <f t="array" aca="1" ref="BG213" ca="1">SUM($K213:$V213*$BY213:$CJ213*$BK213:$BV213)*$AZ213*$BX213</f>
        <v>0</v>
      </c>
      <c r="BH213" s="347">
        <f t="array" aca="1" ref="BH213" ca="1">SUM($K213:$V213*$BY213:$CJ213*$BK213:$BV213)*(1-$BE213)*$AZ213*$BX213</f>
        <v>0</v>
      </c>
      <c r="BI213" s="350">
        <f t="shared" ca="1" si="1209"/>
        <v>0</v>
      </c>
      <c r="BJ213" s="275" t="str">
        <f t="shared" ca="1" si="1210"/>
        <v>Да</v>
      </c>
      <c r="BK213" s="116">
        <f t="shared" ca="1" si="1211"/>
        <v>0.8</v>
      </c>
      <c r="BL213" s="117">
        <f t="shared" ca="1" si="1211"/>
        <v>0.9</v>
      </c>
      <c r="BM213" s="117">
        <f t="shared" ca="1" si="1211"/>
        <v>1</v>
      </c>
      <c r="BN213" s="117">
        <f t="shared" ca="1" si="1211"/>
        <v>1</v>
      </c>
      <c r="BO213" s="117">
        <f t="shared" ca="1" si="1211"/>
        <v>1</v>
      </c>
      <c r="BP213" s="117">
        <f t="shared" ca="1" si="1211"/>
        <v>1</v>
      </c>
      <c r="BQ213" s="117">
        <f t="shared" ca="1" si="1211"/>
        <v>0.9</v>
      </c>
      <c r="BR213" s="117">
        <f t="shared" ca="1" si="1211"/>
        <v>0.9</v>
      </c>
      <c r="BS213" s="117">
        <f t="shared" ca="1" si="1211"/>
        <v>1.3</v>
      </c>
      <c r="BT213" s="117">
        <f t="shared" ca="1" si="1211"/>
        <v>1.3</v>
      </c>
      <c r="BU213" s="117">
        <f t="shared" ca="1" si="1211"/>
        <v>1.3</v>
      </c>
      <c r="BV213" s="278">
        <f t="shared" ca="1" si="1211"/>
        <v>1.3</v>
      </c>
      <c r="BW213" s="280">
        <f t="shared" si="1076"/>
        <v>4</v>
      </c>
      <c r="BX213" s="118">
        <f>IF($AN213="Ya",100%,100%+extraDelayZ)</f>
        <v>1</v>
      </c>
      <c r="BY213" s="263">
        <f t="shared" si="1212"/>
        <v>1</v>
      </c>
      <c r="BZ213" s="264">
        <f t="shared" si="1213"/>
        <v>1</v>
      </c>
      <c r="CA213" s="264">
        <f t="shared" si="1214"/>
        <v>1</v>
      </c>
      <c r="CB213" s="264">
        <f t="shared" si="1215"/>
        <v>1</v>
      </c>
      <c r="CC213" s="264">
        <f t="shared" si="1216"/>
        <v>1</v>
      </c>
      <c r="CD213" s="264">
        <f t="shared" si="1217"/>
        <v>1</v>
      </c>
      <c r="CE213" s="264">
        <f t="shared" si="1218"/>
        <v>1</v>
      </c>
      <c r="CF213" s="264">
        <f t="shared" si="1219"/>
        <v>1</v>
      </c>
      <c r="CG213" s="264">
        <f t="shared" si="1220"/>
        <v>1</v>
      </c>
      <c r="CH213" s="264">
        <f t="shared" si="1221"/>
        <v>1</v>
      </c>
      <c r="CI213" s="264">
        <f t="shared" si="1222"/>
        <v>1</v>
      </c>
      <c r="CJ213" s="265">
        <f t="shared" si="1223"/>
        <v>1</v>
      </c>
      <c r="CK213" s="269">
        <f t="array" ref="CK213">IF(ISERROR(SUM($K213:$V213*$BY213:$CJ213)/SUM($K213:$V213)),1,SUM($K213:$V213*$BY213:$CJ213)/SUM($K213:$V213))-1</f>
        <v>0</v>
      </c>
      <c r="CL213" s="234"/>
    </row>
    <row r="214" spans="1:90" ht="12.75" hidden="1" outlineLevel="1" x14ac:dyDescent="0.2">
      <c r="B214" s="404" t="str">
        <f t="shared" ca="1" si="1191"/>
        <v>Страницы дневников, тизер 240х90</v>
      </c>
      <c r="C214" s="649" t="str">
        <f t="shared" ca="1" si="1192"/>
        <v>Пакет</v>
      </c>
      <c r="D214" s="405">
        <f t="shared" ca="1" si="1193"/>
        <v>40</v>
      </c>
      <c r="E214" s="405">
        <f t="shared" ca="1" si="1194"/>
        <v>40</v>
      </c>
      <c r="F214" s="405">
        <f t="shared" ca="1" si="1195"/>
        <v>40</v>
      </c>
      <c r="G214" s="406">
        <f t="shared" ca="1" si="1196"/>
        <v>240000</v>
      </c>
      <c r="H214" s="406">
        <f t="shared" ca="1" si="1197"/>
        <v>240000</v>
      </c>
      <c r="I214" s="406">
        <f t="shared" ca="1" si="1198"/>
        <v>0</v>
      </c>
      <c r="J214" s="407">
        <f t="shared" ca="1" si="1199"/>
        <v>0</v>
      </c>
      <c r="K214" s="408"/>
      <c r="L214" s="409"/>
      <c r="M214" s="409"/>
      <c r="N214" s="409"/>
      <c r="O214" s="409"/>
      <c r="P214" s="409"/>
      <c r="Q214" s="409"/>
      <c r="R214" s="409"/>
      <c r="S214" s="409"/>
      <c r="T214" s="409"/>
      <c r="U214" s="409"/>
      <c r="V214" s="410"/>
      <c r="W214" s="406">
        <f t="shared" ca="1" si="1060"/>
        <v>0</v>
      </c>
      <c r="X214" s="406"/>
      <c r="Y214" s="411"/>
      <c r="Z214" s="412">
        <f t="shared" ref="Z214:Z215" si="1224">CK214</f>
        <v>0</v>
      </c>
      <c r="AA214" s="413"/>
      <c r="AB214" s="413"/>
      <c r="AC214" s="413"/>
      <c r="AD214" s="413"/>
      <c r="AE214" s="413"/>
      <c r="AF214" s="413"/>
      <c r="AG214" s="413"/>
      <c r="AH214" s="413"/>
      <c r="AI214" s="413"/>
      <c r="AJ214" s="413"/>
      <c r="AK214" s="413"/>
      <c r="AL214" s="413"/>
      <c r="AM214" s="572"/>
      <c r="AN214" s="351" t="s">
        <v>133</v>
      </c>
      <c r="AO214" s="351" t="str">
        <f t="shared" si="1074"/>
        <v>Liveinternet.ru</v>
      </c>
      <c r="AP214" s="115">
        <f t="shared" si="1156"/>
        <v>17</v>
      </c>
      <c r="AQ214" s="31" t="str">
        <f t="shared" ca="1" si="1201"/>
        <v>-</v>
      </c>
      <c r="AR214" s="31" t="str">
        <f t="shared" ca="1" si="1201"/>
        <v>-</v>
      </c>
      <c r="AS214" s="35">
        <v>0</v>
      </c>
      <c r="AT214" s="229">
        <v>0</v>
      </c>
      <c r="AU214" s="344">
        <f t="shared" ca="1" si="1202"/>
        <v>40</v>
      </c>
      <c r="AV214" s="345">
        <f t="shared" ca="1" si="1203"/>
        <v>40</v>
      </c>
      <c r="AW214" s="346">
        <f t="shared" ca="1" si="1204"/>
        <v>40</v>
      </c>
      <c r="AX214" s="280"/>
      <c r="AY214" s="280"/>
      <c r="AZ214" s="347">
        <f t="shared" ca="1" si="1205"/>
        <v>240000</v>
      </c>
      <c r="BA214" s="348">
        <f t="shared" ca="1" si="1206"/>
        <v>240000</v>
      </c>
      <c r="BB214" s="347">
        <f t="shared" ca="1" si="1207"/>
        <v>6000</v>
      </c>
      <c r="BC214" s="37" t="str">
        <f t="shared" ca="1" si="1207"/>
        <v>Пакет</v>
      </c>
      <c r="BD214" s="229" t="str">
        <f t="shared" ca="1" si="1208"/>
        <v>Пакет</v>
      </c>
      <c r="BE214" s="283">
        <f t="shared" ca="1" si="1075"/>
        <v>0</v>
      </c>
      <c r="BF214" s="347">
        <f t="array" aca="1" ref="BF214" ca="1">SUM($K214:$V214*$BK214:$BV214)*$AZ214</f>
        <v>0</v>
      </c>
      <c r="BG214" s="347">
        <f t="array" aca="1" ref="BG214" ca="1">SUM($K214:$V214*$BY214:$CJ214*$BK214:$BV214)*$AZ214*$BX214</f>
        <v>0</v>
      </c>
      <c r="BH214" s="347">
        <f t="array" aca="1" ref="BH214" ca="1">SUM($K214:$V214*$BY214:$CJ214*$BK214:$BV214)*(1-$BE214)*$AZ214*$BX214</f>
        <v>0</v>
      </c>
      <c r="BI214" s="350">
        <f t="shared" ca="1" si="1209"/>
        <v>0</v>
      </c>
      <c r="BJ214" s="275" t="str">
        <f t="shared" ca="1" si="1210"/>
        <v>Да</v>
      </c>
      <c r="BK214" s="116">
        <f t="shared" ca="1" si="1211"/>
        <v>0.8</v>
      </c>
      <c r="BL214" s="117">
        <f t="shared" ca="1" si="1211"/>
        <v>0.9</v>
      </c>
      <c r="BM214" s="117">
        <f t="shared" ca="1" si="1211"/>
        <v>1</v>
      </c>
      <c r="BN214" s="117">
        <f t="shared" ca="1" si="1211"/>
        <v>1</v>
      </c>
      <c r="BO214" s="117">
        <f t="shared" ca="1" si="1211"/>
        <v>1</v>
      </c>
      <c r="BP214" s="117">
        <f t="shared" ca="1" si="1211"/>
        <v>1</v>
      </c>
      <c r="BQ214" s="117">
        <f t="shared" ca="1" si="1211"/>
        <v>0.9</v>
      </c>
      <c r="BR214" s="117">
        <f t="shared" ca="1" si="1211"/>
        <v>0.9</v>
      </c>
      <c r="BS214" s="117">
        <f t="shared" ca="1" si="1211"/>
        <v>1.3</v>
      </c>
      <c r="BT214" s="117">
        <f t="shared" ca="1" si="1211"/>
        <v>1.3</v>
      </c>
      <c r="BU214" s="117">
        <f t="shared" ca="1" si="1211"/>
        <v>1.3</v>
      </c>
      <c r="BV214" s="278">
        <f t="shared" ca="1" si="1211"/>
        <v>1.3</v>
      </c>
      <c r="BW214" s="280">
        <f t="shared" si="1076"/>
        <v>5</v>
      </c>
      <c r="BX214" s="118">
        <f>IF($AN214="Ya",100%,100%+extraDelayZ)</f>
        <v>1</v>
      </c>
      <c r="BY214" s="263">
        <f t="shared" ref="BY214:BY215" si="1225">(1+AA214)</f>
        <v>1</v>
      </c>
      <c r="BZ214" s="264">
        <f t="shared" ref="BZ214:BZ215" si="1226">(1+AB214)</f>
        <v>1</v>
      </c>
      <c r="CA214" s="264">
        <f t="shared" ref="CA214:CA215" si="1227">(1+AC214)</f>
        <v>1</v>
      </c>
      <c r="CB214" s="264">
        <f t="shared" ref="CB214:CB215" si="1228">(1+AD214)</f>
        <v>1</v>
      </c>
      <c r="CC214" s="264">
        <f t="shared" ref="CC214:CC215" si="1229">(1+AE214)</f>
        <v>1</v>
      </c>
      <c r="CD214" s="264">
        <f t="shared" ref="CD214:CD215" si="1230">(1+AF214)</f>
        <v>1</v>
      </c>
      <c r="CE214" s="264">
        <f t="shared" ref="CE214:CE215" si="1231">(1+AG214)</f>
        <v>1</v>
      </c>
      <c r="CF214" s="264">
        <f t="shared" ref="CF214:CF215" si="1232">(1+AH214)</f>
        <v>1</v>
      </c>
      <c r="CG214" s="264">
        <f t="shared" ref="CG214:CG215" si="1233">(1+AI214)</f>
        <v>1</v>
      </c>
      <c r="CH214" s="264">
        <f t="shared" ref="CH214:CH215" si="1234">(1+AJ214)</f>
        <v>1</v>
      </c>
      <c r="CI214" s="264">
        <f t="shared" ref="CI214:CI215" si="1235">(1+AK214)</f>
        <v>1</v>
      </c>
      <c r="CJ214" s="265">
        <f t="shared" ref="CJ214:CJ215" si="1236">(1+AL214)</f>
        <v>1</v>
      </c>
      <c r="CK214" s="269">
        <f t="array" ref="CK214">IF(ISERROR(SUM($K214:$V214*$BY214:$CJ214)/SUM($K214:$V214)),1,SUM($K214:$V214*$BY214:$CJ214)/SUM($K214:$V214))-1</f>
        <v>0</v>
      </c>
      <c r="CL214" s="234"/>
    </row>
    <row r="215" spans="1:90" ht="12.75" hidden="1" outlineLevel="1" x14ac:dyDescent="0.2">
      <c r="B215" s="404" t="str">
        <f t="shared" ca="1" si="1191"/>
        <v>Все страницы Блогов, 728х90, Пакет "Технологии"</v>
      </c>
      <c r="C215" s="649" t="str">
        <f t="shared" ca="1" si="1192"/>
        <v>Пакет</v>
      </c>
      <c r="D215" s="405">
        <f t="shared" ca="1" si="1193"/>
        <v>73</v>
      </c>
      <c r="E215" s="405">
        <f t="shared" ca="1" si="1194"/>
        <v>73</v>
      </c>
      <c r="F215" s="405">
        <f t="shared" ca="1" si="1195"/>
        <v>73</v>
      </c>
      <c r="G215" s="406">
        <f t="shared" ca="1" si="1196"/>
        <v>109500</v>
      </c>
      <c r="H215" s="406">
        <f t="shared" ca="1" si="1197"/>
        <v>109500</v>
      </c>
      <c r="I215" s="406">
        <f t="shared" ca="1" si="1198"/>
        <v>0</v>
      </c>
      <c r="J215" s="407">
        <f t="shared" ca="1" si="1199"/>
        <v>0</v>
      </c>
      <c r="K215" s="408"/>
      <c r="L215" s="409"/>
      <c r="M215" s="409"/>
      <c r="N215" s="409"/>
      <c r="O215" s="409"/>
      <c r="P215" s="409"/>
      <c r="Q215" s="409"/>
      <c r="R215" s="409"/>
      <c r="S215" s="409"/>
      <c r="T215" s="409"/>
      <c r="U215" s="409"/>
      <c r="V215" s="410"/>
      <c r="W215" s="406">
        <f t="shared" ca="1" si="1060"/>
        <v>0</v>
      </c>
      <c r="X215" s="406"/>
      <c r="Y215" s="411"/>
      <c r="Z215" s="412">
        <f t="shared" si="1224"/>
        <v>0</v>
      </c>
      <c r="AA215" s="413"/>
      <c r="AB215" s="413"/>
      <c r="AC215" s="413"/>
      <c r="AD215" s="413"/>
      <c r="AE215" s="413"/>
      <c r="AF215" s="413"/>
      <c r="AG215" s="413"/>
      <c r="AH215" s="413"/>
      <c r="AI215" s="413"/>
      <c r="AJ215" s="413"/>
      <c r="AK215" s="413"/>
      <c r="AL215" s="413"/>
      <c r="AM215" s="572"/>
      <c r="AN215" s="351" t="s">
        <v>133</v>
      </c>
      <c r="AO215" s="351" t="str">
        <f t="shared" si="1074"/>
        <v>Liveinternet.ru</v>
      </c>
      <c r="AP215" s="115">
        <f t="shared" si="1156"/>
        <v>17</v>
      </c>
      <c r="AQ215" s="31" t="str">
        <f t="shared" ca="1" si="1201"/>
        <v>-</v>
      </c>
      <c r="AR215" s="31" t="str">
        <f t="shared" ca="1" si="1201"/>
        <v>-</v>
      </c>
      <c r="AS215" s="35">
        <v>0</v>
      </c>
      <c r="AT215" s="229">
        <v>0</v>
      </c>
      <c r="AU215" s="344">
        <f t="shared" ca="1" si="1202"/>
        <v>73</v>
      </c>
      <c r="AV215" s="345">
        <f t="shared" ca="1" si="1203"/>
        <v>73</v>
      </c>
      <c r="AW215" s="346">
        <f t="shared" ca="1" si="1204"/>
        <v>73</v>
      </c>
      <c r="AX215" s="280"/>
      <c r="AY215" s="280"/>
      <c r="AZ215" s="347">
        <f t="shared" ca="1" si="1205"/>
        <v>109500</v>
      </c>
      <c r="BA215" s="348">
        <f t="shared" ca="1" si="1206"/>
        <v>109500</v>
      </c>
      <c r="BB215" s="347">
        <f t="shared" ca="1" si="1207"/>
        <v>1500</v>
      </c>
      <c r="BC215" s="37" t="str">
        <f t="shared" ca="1" si="1207"/>
        <v>Пакет</v>
      </c>
      <c r="BD215" s="229" t="str">
        <f t="shared" ca="1" si="1208"/>
        <v>Пакет</v>
      </c>
      <c r="BE215" s="283">
        <f t="shared" ca="1" si="1075"/>
        <v>0</v>
      </c>
      <c r="BF215" s="347">
        <f t="array" aca="1" ref="BF215" ca="1">SUM($K215:$V215*$BK215:$BV215)*$AZ215</f>
        <v>0</v>
      </c>
      <c r="BG215" s="347">
        <f t="array" aca="1" ref="BG215" ca="1">SUM($K215:$V215*$BY215:$CJ215*$BK215:$BV215)*$AZ215*$BX215</f>
        <v>0</v>
      </c>
      <c r="BH215" s="347">
        <f t="array" aca="1" ref="BH215" ca="1">SUM($K215:$V215*$BY215:$CJ215*$BK215:$BV215)*(1-$BE215)*$AZ215*$BX215</f>
        <v>0</v>
      </c>
      <c r="BI215" s="350">
        <f t="shared" ca="1" si="1209"/>
        <v>0</v>
      </c>
      <c r="BJ215" s="275" t="str">
        <f t="shared" ca="1" si="1210"/>
        <v>Да</v>
      </c>
      <c r="BK215" s="116">
        <f t="shared" ca="1" si="1211"/>
        <v>0.8</v>
      </c>
      <c r="BL215" s="117">
        <f t="shared" ca="1" si="1211"/>
        <v>0.9</v>
      </c>
      <c r="BM215" s="117">
        <f t="shared" ca="1" si="1211"/>
        <v>1</v>
      </c>
      <c r="BN215" s="117">
        <f t="shared" ca="1" si="1211"/>
        <v>1</v>
      </c>
      <c r="BO215" s="117">
        <f t="shared" ca="1" si="1211"/>
        <v>1</v>
      </c>
      <c r="BP215" s="117">
        <f t="shared" ca="1" si="1211"/>
        <v>1</v>
      </c>
      <c r="BQ215" s="117">
        <f t="shared" ca="1" si="1211"/>
        <v>0.9</v>
      </c>
      <c r="BR215" s="117">
        <f t="shared" ca="1" si="1211"/>
        <v>0.9</v>
      </c>
      <c r="BS215" s="117">
        <f t="shared" ca="1" si="1211"/>
        <v>1.3</v>
      </c>
      <c r="BT215" s="117">
        <f t="shared" ca="1" si="1211"/>
        <v>1.3</v>
      </c>
      <c r="BU215" s="117">
        <f t="shared" ca="1" si="1211"/>
        <v>1.3</v>
      </c>
      <c r="BV215" s="278">
        <f t="shared" ca="1" si="1211"/>
        <v>1.3</v>
      </c>
      <c r="BW215" s="280">
        <f t="shared" si="1076"/>
        <v>6</v>
      </c>
      <c r="BX215" s="118">
        <f>IF($AN215="Ya",100%,100%+extraDelayZ)</f>
        <v>1</v>
      </c>
      <c r="BY215" s="263">
        <f t="shared" si="1225"/>
        <v>1</v>
      </c>
      <c r="BZ215" s="264">
        <f t="shared" si="1226"/>
        <v>1</v>
      </c>
      <c r="CA215" s="264">
        <f t="shared" si="1227"/>
        <v>1</v>
      </c>
      <c r="CB215" s="264">
        <f t="shared" si="1228"/>
        <v>1</v>
      </c>
      <c r="CC215" s="264">
        <f t="shared" si="1229"/>
        <v>1</v>
      </c>
      <c r="CD215" s="264">
        <f t="shared" si="1230"/>
        <v>1</v>
      </c>
      <c r="CE215" s="264">
        <f t="shared" si="1231"/>
        <v>1</v>
      </c>
      <c r="CF215" s="264">
        <f t="shared" si="1232"/>
        <v>1</v>
      </c>
      <c r="CG215" s="264">
        <f t="shared" si="1233"/>
        <v>1</v>
      </c>
      <c r="CH215" s="264">
        <f t="shared" si="1234"/>
        <v>1</v>
      </c>
      <c r="CI215" s="264">
        <f t="shared" si="1235"/>
        <v>1</v>
      </c>
      <c r="CJ215" s="265">
        <f t="shared" si="1236"/>
        <v>1</v>
      </c>
      <c r="CK215" s="269">
        <f t="array" ref="CK215">IF(ISERROR(SUM($K215:$V215*$BY215:$CJ215)/SUM($K215:$V215)),1,SUM($K215:$V215*$BY215:$CJ215)/SUM($K215:$V215))-1</f>
        <v>0</v>
      </c>
      <c r="CL215" s="234"/>
    </row>
    <row r="216" spans="1:90" ht="12.75" hidden="1" outlineLevel="1" x14ac:dyDescent="0.2">
      <c r="B216" s="404" t="str">
        <f t="shared" ca="1" si="1191"/>
        <v>Все страницы Блогов, 728х90, Пакет "Авто"</v>
      </c>
      <c r="C216" s="649" t="str">
        <f t="shared" ca="1" si="1192"/>
        <v>Пакет</v>
      </c>
      <c r="D216" s="405">
        <f t="shared" ca="1" si="1193"/>
        <v>73</v>
      </c>
      <c r="E216" s="405">
        <f t="shared" ca="1" si="1194"/>
        <v>73</v>
      </c>
      <c r="F216" s="405">
        <f t="shared" ca="1" si="1195"/>
        <v>73</v>
      </c>
      <c r="G216" s="406">
        <f t="shared" ca="1" si="1196"/>
        <v>73000</v>
      </c>
      <c r="H216" s="406">
        <f t="shared" ca="1" si="1197"/>
        <v>73000</v>
      </c>
      <c r="I216" s="406">
        <f t="shared" ca="1" si="1198"/>
        <v>0</v>
      </c>
      <c r="J216" s="407">
        <f t="shared" ca="1" si="1199"/>
        <v>0</v>
      </c>
      <c r="K216" s="408"/>
      <c r="L216" s="409"/>
      <c r="M216" s="409"/>
      <c r="N216" s="409"/>
      <c r="O216" s="409"/>
      <c r="P216" s="409"/>
      <c r="Q216" s="409"/>
      <c r="R216" s="409"/>
      <c r="S216" s="409"/>
      <c r="T216" s="409"/>
      <c r="U216" s="409"/>
      <c r="V216" s="410"/>
      <c r="W216" s="406">
        <f t="shared" ca="1" si="1060"/>
        <v>0</v>
      </c>
      <c r="X216" s="406"/>
      <c r="Y216" s="411"/>
      <c r="Z216" s="412">
        <f t="shared" si="1200"/>
        <v>0</v>
      </c>
      <c r="AA216" s="413"/>
      <c r="AB216" s="413"/>
      <c r="AC216" s="413"/>
      <c r="AD216" s="413"/>
      <c r="AE216" s="413"/>
      <c r="AF216" s="413"/>
      <c r="AG216" s="413"/>
      <c r="AH216" s="413"/>
      <c r="AI216" s="413"/>
      <c r="AJ216" s="413"/>
      <c r="AK216" s="413"/>
      <c r="AL216" s="413"/>
      <c r="AM216" s="572"/>
      <c r="AN216" s="351" t="s">
        <v>133</v>
      </c>
      <c r="AO216" s="351" t="str">
        <f t="shared" si="1074"/>
        <v>Liveinternet.ru</v>
      </c>
      <c r="AP216" s="115">
        <f t="shared" si="1156"/>
        <v>17</v>
      </c>
      <c r="AQ216" s="31" t="str">
        <f t="shared" ca="1" si="1201"/>
        <v>-</v>
      </c>
      <c r="AR216" s="31" t="str">
        <f t="shared" ca="1" si="1201"/>
        <v>-</v>
      </c>
      <c r="AS216" s="35">
        <v>0</v>
      </c>
      <c r="AT216" s="229">
        <v>0</v>
      </c>
      <c r="AU216" s="344">
        <f t="shared" ca="1" si="1202"/>
        <v>73</v>
      </c>
      <c r="AV216" s="345">
        <f t="shared" ca="1" si="1203"/>
        <v>73</v>
      </c>
      <c r="AW216" s="346">
        <f t="shared" ca="1" si="1204"/>
        <v>73</v>
      </c>
      <c r="AX216" s="280"/>
      <c r="AY216" s="280"/>
      <c r="AZ216" s="347">
        <f t="shared" ca="1" si="1205"/>
        <v>73000</v>
      </c>
      <c r="BA216" s="348">
        <f t="shared" ca="1" si="1206"/>
        <v>73000</v>
      </c>
      <c r="BB216" s="347">
        <f t="shared" ca="1" si="1207"/>
        <v>1000</v>
      </c>
      <c r="BC216" s="37" t="str">
        <f t="shared" ca="1" si="1207"/>
        <v>Пакет</v>
      </c>
      <c r="BD216" s="229" t="str">
        <f t="shared" ca="1" si="1208"/>
        <v>Пакет</v>
      </c>
      <c r="BE216" s="283">
        <f t="shared" ca="1" si="1075"/>
        <v>0</v>
      </c>
      <c r="BF216" s="347">
        <f t="array" aca="1" ref="BF216" ca="1">SUM($K216:$V216*$BK216:$BV216)*$AZ216</f>
        <v>0</v>
      </c>
      <c r="BG216" s="347">
        <f t="array" aca="1" ref="BG216" ca="1">SUM($K216:$V216*$BY216:$CJ216*$BK216:$BV216)*$AZ216*$BX216</f>
        <v>0</v>
      </c>
      <c r="BH216" s="347">
        <f t="array" aca="1" ref="BH216" ca="1">SUM($K216:$V216*$BY216:$CJ216*$BK216:$BV216)*(1-$BE216)*$AZ216*$BX216</f>
        <v>0</v>
      </c>
      <c r="BI216" s="350">
        <f t="shared" ca="1" si="1209"/>
        <v>0</v>
      </c>
      <c r="BJ216" s="275" t="str">
        <f t="shared" ca="1" si="1210"/>
        <v>Да</v>
      </c>
      <c r="BK216" s="116">
        <f t="shared" ca="1" si="1211"/>
        <v>0.8</v>
      </c>
      <c r="BL216" s="117">
        <f t="shared" ca="1" si="1211"/>
        <v>0.9</v>
      </c>
      <c r="BM216" s="117">
        <f t="shared" ca="1" si="1211"/>
        <v>1</v>
      </c>
      <c r="BN216" s="117">
        <f t="shared" ca="1" si="1211"/>
        <v>1</v>
      </c>
      <c r="BO216" s="117">
        <f t="shared" ca="1" si="1211"/>
        <v>1</v>
      </c>
      <c r="BP216" s="117">
        <f t="shared" ca="1" si="1211"/>
        <v>1</v>
      </c>
      <c r="BQ216" s="117">
        <f t="shared" ca="1" si="1211"/>
        <v>0.9</v>
      </c>
      <c r="BR216" s="117">
        <f t="shared" ca="1" si="1211"/>
        <v>0.9</v>
      </c>
      <c r="BS216" s="117">
        <f t="shared" ca="1" si="1211"/>
        <v>1.3</v>
      </c>
      <c r="BT216" s="117">
        <f t="shared" ca="1" si="1211"/>
        <v>1.3</v>
      </c>
      <c r="BU216" s="117">
        <f t="shared" ca="1" si="1211"/>
        <v>1.3</v>
      </c>
      <c r="BV216" s="278">
        <f t="shared" ca="1" si="1211"/>
        <v>1.3</v>
      </c>
      <c r="BW216" s="280">
        <f t="shared" si="1076"/>
        <v>7</v>
      </c>
      <c r="BX216" s="118">
        <f>IF($AN216="Ya",100%,100%+extraDelayZ)</f>
        <v>1</v>
      </c>
      <c r="BY216" s="263">
        <f t="shared" si="1212"/>
        <v>1</v>
      </c>
      <c r="BZ216" s="264">
        <f t="shared" si="1213"/>
        <v>1</v>
      </c>
      <c r="CA216" s="264">
        <f t="shared" si="1214"/>
        <v>1</v>
      </c>
      <c r="CB216" s="264">
        <f t="shared" si="1215"/>
        <v>1</v>
      </c>
      <c r="CC216" s="264">
        <f t="shared" si="1216"/>
        <v>1</v>
      </c>
      <c r="CD216" s="264">
        <f t="shared" si="1217"/>
        <v>1</v>
      </c>
      <c r="CE216" s="264">
        <f t="shared" si="1218"/>
        <v>1</v>
      </c>
      <c r="CF216" s="264">
        <f t="shared" si="1219"/>
        <v>1</v>
      </c>
      <c r="CG216" s="264">
        <f t="shared" si="1220"/>
        <v>1</v>
      </c>
      <c r="CH216" s="264">
        <f t="shared" si="1221"/>
        <v>1</v>
      </c>
      <c r="CI216" s="264">
        <f t="shared" si="1222"/>
        <v>1</v>
      </c>
      <c r="CJ216" s="265">
        <f t="shared" si="1223"/>
        <v>1</v>
      </c>
      <c r="CK216" s="269">
        <f t="array" ref="CK216">IF(ISERROR(SUM($K216:$V216*$BY216:$CJ216)/SUM($K216:$V216)),1,SUM($K216:$V216*$BY216:$CJ216)/SUM($K216:$V216))-1</f>
        <v>0</v>
      </c>
      <c r="CL216" s="234"/>
    </row>
    <row r="217" spans="1:90" ht="12.75" hidden="1" outlineLevel="1" x14ac:dyDescent="0.2">
      <c r="B217" s="404" t="str">
        <f t="shared" ca="1" si="1191"/>
        <v>Все страницы Блогов, 728х90, Пакет "Связь"</v>
      </c>
      <c r="C217" s="649" t="str">
        <f t="shared" ca="1" si="1192"/>
        <v>Пакет</v>
      </c>
      <c r="D217" s="405">
        <f t="shared" ca="1" si="1193"/>
        <v>73</v>
      </c>
      <c r="E217" s="405">
        <f t="shared" ca="1" si="1194"/>
        <v>73</v>
      </c>
      <c r="F217" s="405">
        <f t="shared" ca="1" si="1195"/>
        <v>73</v>
      </c>
      <c r="G217" s="406">
        <f t="shared" ca="1" si="1196"/>
        <v>109500</v>
      </c>
      <c r="H217" s="406">
        <f t="shared" ca="1" si="1197"/>
        <v>109500</v>
      </c>
      <c r="I217" s="406">
        <f t="shared" ca="1" si="1198"/>
        <v>0</v>
      </c>
      <c r="J217" s="407">
        <f t="shared" ca="1" si="1199"/>
        <v>0</v>
      </c>
      <c r="K217" s="408"/>
      <c r="L217" s="409"/>
      <c r="M217" s="409"/>
      <c r="N217" s="409"/>
      <c r="O217" s="409"/>
      <c r="P217" s="409"/>
      <c r="Q217" s="409"/>
      <c r="R217" s="409"/>
      <c r="S217" s="409"/>
      <c r="T217" s="409"/>
      <c r="U217" s="409"/>
      <c r="V217" s="410"/>
      <c r="W217" s="406">
        <f t="shared" ca="1" si="1060"/>
        <v>0</v>
      </c>
      <c r="X217" s="406"/>
      <c r="Y217" s="411"/>
      <c r="Z217" s="412">
        <f t="shared" si="1200"/>
        <v>0</v>
      </c>
      <c r="AA217" s="413"/>
      <c r="AB217" s="413"/>
      <c r="AC217" s="413"/>
      <c r="AD217" s="413"/>
      <c r="AE217" s="413"/>
      <c r="AF217" s="413"/>
      <c r="AG217" s="413"/>
      <c r="AH217" s="413"/>
      <c r="AI217" s="413"/>
      <c r="AJ217" s="413"/>
      <c r="AK217" s="413"/>
      <c r="AL217" s="413"/>
      <c r="AM217" s="572"/>
      <c r="AN217" s="351" t="s">
        <v>133</v>
      </c>
      <c r="AO217" s="351" t="str">
        <f t="shared" si="1074"/>
        <v>Liveinternet.ru</v>
      </c>
      <c r="AP217" s="115">
        <f t="shared" si="1156"/>
        <v>17</v>
      </c>
      <c r="AQ217" s="31" t="str">
        <f t="shared" ca="1" si="1201"/>
        <v>-</v>
      </c>
      <c r="AR217" s="31" t="str">
        <f t="shared" ca="1" si="1201"/>
        <v>-</v>
      </c>
      <c r="AS217" s="35">
        <v>0</v>
      </c>
      <c r="AT217" s="229">
        <v>0</v>
      </c>
      <c r="AU217" s="344">
        <f t="shared" ca="1" si="1202"/>
        <v>73</v>
      </c>
      <c r="AV217" s="345">
        <f t="shared" ca="1" si="1203"/>
        <v>73</v>
      </c>
      <c r="AW217" s="346">
        <f t="shared" ca="1" si="1204"/>
        <v>73</v>
      </c>
      <c r="AX217" s="280"/>
      <c r="AY217" s="280"/>
      <c r="AZ217" s="347">
        <f t="shared" ca="1" si="1205"/>
        <v>109500</v>
      </c>
      <c r="BA217" s="348">
        <f t="shared" ca="1" si="1206"/>
        <v>109500</v>
      </c>
      <c r="BB217" s="347">
        <f t="shared" ca="1" si="1207"/>
        <v>1500</v>
      </c>
      <c r="BC217" s="37" t="str">
        <f t="shared" ca="1" si="1207"/>
        <v>Пакет</v>
      </c>
      <c r="BD217" s="229" t="str">
        <f t="shared" ca="1" si="1208"/>
        <v>Пакет</v>
      </c>
      <c r="BE217" s="283">
        <f t="shared" ca="1" si="1075"/>
        <v>0</v>
      </c>
      <c r="BF217" s="347">
        <f t="array" aca="1" ref="BF217" ca="1">SUM($K217:$V217*$BK217:$BV217)*$AZ217</f>
        <v>0</v>
      </c>
      <c r="BG217" s="347">
        <f t="array" aca="1" ref="BG217" ca="1">SUM($K217:$V217*$BY217:$CJ217*$BK217:$BV217)*$AZ217*$BX217</f>
        <v>0</v>
      </c>
      <c r="BH217" s="347">
        <f t="array" aca="1" ref="BH217" ca="1">SUM($K217:$V217*$BY217:$CJ217*$BK217:$BV217)*(1-$BE217)*$AZ217*$BX217</f>
        <v>0</v>
      </c>
      <c r="BI217" s="350">
        <f t="shared" ca="1" si="1209"/>
        <v>0</v>
      </c>
      <c r="BJ217" s="275" t="str">
        <f t="shared" ca="1" si="1210"/>
        <v>Да</v>
      </c>
      <c r="BK217" s="116">
        <f t="shared" ca="1" si="1211"/>
        <v>0.8</v>
      </c>
      <c r="BL217" s="117">
        <f t="shared" ca="1" si="1211"/>
        <v>0.9</v>
      </c>
      <c r="BM217" s="117">
        <f t="shared" ca="1" si="1211"/>
        <v>1</v>
      </c>
      <c r="BN217" s="117">
        <f t="shared" ca="1" si="1211"/>
        <v>1</v>
      </c>
      <c r="BO217" s="117">
        <f t="shared" ca="1" si="1211"/>
        <v>1</v>
      </c>
      <c r="BP217" s="117">
        <f t="shared" ca="1" si="1211"/>
        <v>1</v>
      </c>
      <c r="BQ217" s="117">
        <f t="shared" ca="1" si="1211"/>
        <v>0.9</v>
      </c>
      <c r="BR217" s="117">
        <f t="shared" ca="1" si="1211"/>
        <v>0.9</v>
      </c>
      <c r="BS217" s="117">
        <f t="shared" ca="1" si="1211"/>
        <v>1.3</v>
      </c>
      <c r="BT217" s="117">
        <f t="shared" ca="1" si="1211"/>
        <v>1.3</v>
      </c>
      <c r="BU217" s="117">
        <f t="shared" ca="1" si="1211"/>
        <v>1.3</v>
      </c>
      <c r="BV217" s="278">
        <f t="shared" ca="1" si="1211"/>
        <v>1.3</v>
      </c>
      <c r="BW217" s="280">
        <f t="shared" si="1076"/>
        <v>8</v>
      </c>
      <c r="BX217" s="118">
        <f>IF($AN217="Ya",100%,100%+extraDelayZ)</f>
        <v>1</v>
      </c>
      <c r="BY217" s="263">
        <f t="shared" si="1212"/>
        <v>1</v>
      </c>
      <c r="BZ217" s="264">
        <f t="shared" si="1213"/>
        <v>1</v>
      </c>
      <c r="CA217" s="264">
        <f t="shared" si="1214"/>
        <v>1</v>
      </c>
      <c r="CB217" s="264">
        <f t="shared" si="1215"/>
        <v>1</v>
      </c>
      <c r="CC217" s="264">
        <f t="shared" si="1216"/>
        <v>1</v>
      </c>
      <c r="CD217" s="264">
        <f t="shared" si="1217"/>
        <v>1</v>
      </c>
      <c r="CE217" s="264">
        <f t="shared" si="1218"/>
        <v>1</v>
      </c>
      <c r="CF217" s="264">
        <f t="shared" si="1219"/>
        <v>1</v>
      </c>
      <c r="CG217" s="264">
        <f t="shared" si="1220"/>
        <v>1</v>
      </c>
      <c r="CH217" s="264">
        <f t="shared" si="1221"/>
        <v>1</v>
      </c>
      <c r="CI217" s="264">
        <f t="shared" si="1222"/>
        <v>1</v>
      </c>
      <c r="CJ217" s="265">
        <f t="shared" si="1223"/>
        <v>1</v>
      </c>
      <c r="CK217" s="269">
        <f t="array" ref="CK217">IF(ISERROR(SUM($K217:$V217*$BY217:$CJ217)/SUM($K217:$V217)),1,SUM($K217:$V217*$BY217:$CJ217)/SUM($K217:$V217))-1</f>
        <v>0</v>
      </c>
      <c r="CL217" s="234"/>
    </row>
    <row r="218" spans="1:90" ht="12.75" hidden="1" outlineLevel="1" x14ac:dyDescent="0.2">
      <c r="B218" s="404" t="str">
        <f t="shared" ca="1" si="1191"/>
        <v>Все страницы Блогов, 728х90, Пакет "Женщины"</v>
      </c>
      <c r="C218" s="649" t="str">
        <f t="shared" ca="1" si="1192"/>
        <v>Пакет</v>
      </c>
      <c r="D218" s="405">
        <f t="shared" ca="1" si="1193"/>
        <v>65</v>
      </c>
      <c r="E218" s="405">
        <f t="shared" ca="1" si="1194"/>
        <v>65</v>
      </c>
      <c r="F218" s="405">
        <f t="shared" ca="1" si="1195"/>
        <v>65</v>
      </c>
      <c r="G218" s="406">
        <f t="shared" ca="1" si="1196"/>
        <v>325000</v>
      </c>
      <c r="H218" s="406">
        <f t="shared" ca="1" si="1197"/>
        <v>325000</v>
      </c>
      <c r="I218" s="406">
        <f t="shared" ca="1" si="1198"/>
        <v>0</v>
      </c>
      <c r="J218" s="407">
        <f t="shared" ca="1" si="1199"/>
        <v>0</v>
      </c>
      <c r="K218" s="408"/>
      <c r="L218" s="409"/>
      <c r="M218" s="409"/>
      <c r="N218" s="409"/>
      <c r="O218" s="409"/>
      <c r="P218" s="409"/>
      <c r="Q218" s="409"/>
      <c r="R218" s="409"/>
      <c r="S218" s="409"/>
      <c r="T218" s="409"/>
      <c r="U218" s="409"/>
      <c r="V218" s="410"/>
      <c r="W218" s="406">
        <f t="shared" ca="1" si="1060"/>
        <v>0</v>
      </c>
      <c r="X218" s="406"/>
      <c r="Y218" s="411"/>
      <c r="Z218" s="412">
        <f t="shared" ref="Z218" si="1237">CK218</f>
        <v>0</v>
      </c>
      <c r="AA218" s="413"/>
      <c r="AB218" s="413"/>
      <c r="AC218" s="413"/>
      <c r="AD218" s="413"/>
      <c r="AE218" s="413"/>
      <c r="AF218" s="413"/>
      <c r="AG218" s="413"/>
      <c r="AH218" s="413"/>
      <c r="AI218" s="413"/>
      <c r="AJ218" s="413"/>
      <c r="AK218" s="413"/>
      <c r="AL218" s="413"/>
      <c r="AM218" s="572"/>
      <c r="AN218" s="351" t="s">
        <v>133</v>
      </c>
      <c r="AO218" s="351" t="str">
        <f t="shared" si="1074"/>
        <v>Liveinternet.ru</v>
      </c>
      <c r="AP218" s="115">
        <f t="shared" si="1156"/>
        <v>17</v>
      </c>
      <c r="AQ218" s="31" t="str">
        <f t="shared" ca="1" si="1201"/>
        <v>-</v>
      </c>
      <c r="AR218" s="31" t="str">
        <f t="shared" ca="1" si="1201"/>
        <v>-</v>
      </c>
      <c r="AS218" s="35">
        <v>0</v>
      </c>
      <c r="AT218" s="229">
        <v>0</v>
      </c>
      <c r="AU218" s="344">
        <f t="shared" ca="1" si="1202"/>
        <v>65</v>
      </c>
      <c r="AV218" s="345">
        <f t="shared" ca="1" si="1203"/>
        <v>65</v>
      </c>
      <c r="AW218" s="346">
        <f t="shared" ca="1" si="1204"/>
        <v>65</v>
      </c>
      <c r="AX218" s="280"/>
      <c r="AY218" s="280"/>
      <c r="AZ218" s="347">
        <f t="shared" ca="1" si="1205"/>
        <v>325000</v>
      </c>
      <c r="BA218" s="348">
        <f t="shared" ca="1" si="1206"/>
        <v>325000</v>
      </c>
      <c r="BB218" s="347">
        <f t="shared" ca="1" si="1207"/>
        <v>5000</v>
      </c>
      <c r="BC218" s="37" t="str">
        <f t="shared" ca="1" si="1207"/>
        <v>Пакет</v>
      </c>
      <c r="BD218" s="229" t="str">
        <f t="shared" ca="1" si="1208"/>
        <v>Пакет</v>
      </c>
      <c r="BE218" s="283">
        <f t="shared" ca="1" si="1075"/>
        <v>0</v>
      </c>
      <c r="BF218" s="347">
        <f t="array" aca="1" ref="BF218" ca="1">SUM($K218:$V218*$BK218:$BV218)*$AZ218</f>
        <v>0</v>
      </c>
      <c r="BG218" s="347">
        <f t="array" aca="1" ref="BG218" ca="1">SUM($K218:$V218*$BY218:$CJ218*$BK218:$BV218)*$AZ218*$BX218</f>
        <v>0</v>
      </c>
      <c r="BH218" s="347">
        <f t="array" aca="1" ref="BH218" ca="1">SUM($K218:$V218*$BY218:$CJ218*$BK218:$BV218)*(1-$BE218)*$AZ218*$BX218</f>
        <v>0</v>
      </c>
      <c r="BI218" s="350">
        <f t="shared" ca="1" si="1209"/>
        <v>0</v>
      </c>
      <c r="BJ218" s="275" t="str">
        <f t="shared" ca="1" si="1210"/>
        <v>Да</v>
      </c>
      <c r="BK218" s="116">
        <f t="shared" ca="1" si="1211"/>
        <v>0.8</v>
      </c>
      <c r="BL218" s="117">
        <f t="shared" ca="1" si="1211"/>
        <v>0.9</v>
      </c>
      <c r="BM218" s="117">
        <f t="shared" ca="1" si="1211"/>
        <v>1</v>
      </c>
      <c r="BN218" s="117">
        <f t="shared" ca="1" si="1211"/>
        <v>1</v>
      </c>
      <c r="BO218" s="117">
        <f t="shared" ca="1" si="1211"/>
        <v>1</v>
      </c>
      <c r="BP218" s="117">
        <f t="shared" ca="1" si="1211"/>
        <v>1</v>
      </c>
      <c r="BQ218" s="117">
        <f t="shared" ca="1" si="1211"/>
        <v>0.9</v>
      </c>
      <c r="BR218" s="117">
        <f t="shared" ca="1" si="1211"/>
        <v>0.9</v>
      </c>
      <c r="BS218" s="117">
        <f t="shared" ca="1" si="1211"/>
        <v>1.3</v>
      </c>
      <c r="BT218" s="117">
        <f t="shared" ca="1" si="1211"/>
        <v>1.3</v>
      </c>
      <c r="BU218" s="117">
        <f t="shared" ca="1" si="1211"/>
        <v>1.3</v>
      </c>
      <c r="BV218" s="278">
        <f t="shared" ca="1" si="1211"/>
        <v>1.3</v>
      </c>
      <c r="BW218" s="280">
        <f t="shared" si="1076"/>
        <v>9</v>
      </c>
      <c r="BX218" s="118">
        <f>IF($AN218="Ya",100%,100%+extraDelayZ)</f>
        <v>1</v>
      </c>
      <c r="BY218" s="263">
        <f t="shared" ref="BY218" si="1238">(1+AA218)</f>
        <v>1</v>
      </c>
      <c r="BZ218" s="264">
        <f t="shared" ref="BZ218" si="1239">(1+AB218)</f>
        <v>1</v>
      </c>
      <c r="CA218" s="264">
        <f t="shared" ref="CA218" si="1240">(1+AC218)</f>
        <v>1</v>
      </c>
      <c r="CB218" s="264">
        <f t="shared" ref="CB218" si="1241">(1+AD218)</f>
        <v>1</v>
      </c>
      <c r="CC218" s="264">
        <f t="shared" ref="CC218" si="1242">(1+AE218)</f>
        <v>1</v>
      </c>
      <c r="CD218" s="264">
        <f t="shared" ref="CD218" si="1243">(1+AF218)</f>
        <v>1</v>
      </c>
      <c r="CE218" s="264">
        <f t="shared" ref="CE218" si="1244">(1+AG218)</f>
        <v>1</v>
      </c>
      <c r="CF218" s="264">
        <f t="shared" ref="CF218" si="1245">(1+AH218)</f>
        <v>1</v>
      </c>
      <c r="CG218" s="264">
        <f t="shared" ref="CG218" si="1246">(1+AI218)</f>
        <v>1</v>
      </c>
      <c r="CH218" s="264">
        <f t="shared" ref="CH218" si="1247">(1+AJ218)</f>
        <v>1</v>
      </c>
      <c r="CI218" s="264">
        <f t="shared" ref="CI218" si="1248">(1+AK218)</f>
        <v>1</v>
      </c>
      <c r="CJ218" s="265">
        <f t="shared" ref="CJ218" si="1249">(1+AL218)</f>
        <v>1</v>
      </c>
      <c r="CK218" s="269">
        <f t="array" ref="CK218">IF(ISERROR(SUM($K218:$V218*$BY218:$CJ218)/SUM($K218:$V218)),1,SUM($K218:$V218*$BY218:$CJ218)/SUM($K218:$V218))-1</f>
        <v>0</v>
      </c>
      <c r="CL218" s="234"/>
    </row>
    <row r="219" spans="1:90" ht="12.75" hidden="1" outlineLevel="1" x14ac:dyDescent="0.2">
      <c r="B219" s="404" t="str">
        <f t="shared" ca="1" si="1191"/>
        <v>Все страницы Блогов, 728х90, Пакет "Мужчины"</v>
      </c>
      <c r="C219" s="649" t="str">
        <f t="shared" ca="1" si="1192"/>
        <v>Пакет</v>
      </c>
      <c r="D219" s="405">
        <f t="shared" ca="1" si="1193"/>
        <v>65</v>
      </c>
      <c r="E219" s="405">
        <f t="shared" ca="1" si="1194"/>
        <v>65</v>
      </c>
      <c r="F219" s="405">
        <f t="shared" ca="1" si="1195"/>
        <v>65</v>
      </c>
      <c r="G219" s="406">
        <f t="shared" ca="1" si="1196"/>
        <v>130000</v>
      </c>
      <c r="H219" s="406">
        <f t="shared" ca="1" si="1197"/>
        <v>130000</v>
      </c>
      <c r="I219" s="406">
        <f t="shared" ca="1" si="1198"/>
        <v>0</v>
      </c>
      <c r="J219" s="407">
        <f t="shared" ca="1" si="1199"/>
        <v>0</v>
      </c>
      <c r="K219" s="408"/>
      <c r="L219" s="409"/>
      <c r="M219" s="409"/>
      <c r="N219" s="409"/>
      <c r="O219" s="409"/>
      <c r="P219" s="409"/>
      <c r="Q219" s="409"/>
      <c r="R219" s="409"/>
      <c r="S219" s="409"/>
      <c r="T219" s="409"/>
      <c r="U219" s="409"/>
      <c r="V219" s="410"/>
      <c r="W219" s="406">
        <f t="shared" ca="1" si="1060"/>
        <v>0</v>
      </c>
      <c r="X219" s="406"/>
      <c r="Y219" s="411"/>
      <c r="Z219" s="412">
        <f t="shared" ref="Z219:Z220" si="1250">CK219</f>
        <v>0</v>
      </c>
      <c r="AA219" s="413"/>
      <c r="AB219" s="413"/>
      <c r="AC219" s="413"/>
      <c r="AD219" s="413"/>
      <c r="AE219" s="413"/>
      <c r="AF219" s="413"/>
      <c r="AG219" s="413"/>
      <c r="AH219" s="413"/>
      <c r="AI219" s="413"/>
      <c r="AJ219" s="413"/>
      <c r="AK219" s="413"/>
      <c r="AL219" s="413"/>
      <c r="AM219" s="572"/>
      <c r="AN219" s="351" t="s">
        <v>133</v>
      </c>
      <c r="AO219" s="351" t="str">
        <f t="shared" si="1074"/>
        <v>Liveinternet.ru</v>
      </c>
      <c r="AP219" s="115">
        <f t="shared" si="1156"/>
        <v>17</v>
      </c>
      <c r="AQ219" s="31" t="str">
        <f t="shared" ca="1" si="1201"/>
        <v>-</v>
      </c>
      <c r="AR219" s="31" t="str">
        <f t="shared" ca="1" si="1201"/>
        <v>-</v>
      </c>
      <c r="AS219" s="35">
        <v>0</v>
      </c>
      <c r="AT219" s="229">
        <v>0</v>
      </c>
      <c r="AU219" s="344">
        <f t="shared" ca="1" si="1202"/>
        <v>65</v>
      </c>
      <c r="AV219" s="345">
        <f t="shared" ca="1" si="1203"/>
        <v>65</v>
      </c>
      <c r="AW219" s="346">
        <f t="shared" ca="1" si="1204"/>
        <v>65</v>
      </c>
      <c r="AX219" s="280"/>
      <c r="AY219" s="280"/>
      <c r="AZ219" s="347">
        <f t="shared" ca="1" si="1205"/>
        <v>130000</v>
      </c>
      <c r="BA219" s="348">
        <f t="shared" ca="1" si="1206"/>
        <v>130000</v>
      </c>
      <c r="BB219" s="347">
        <f t="shared" ca="1" si="1207"/>
        <v>2000</v>
      </c>
      <c r="BC219" s="37" t="str">
        <f t="shared" ca="1" si="1207"/>
        <v>Пакет</v>
      </c>
      <c r="BD219" s="229" t="str">
        <f t="shared" ca="1" si="1208"/>
        <v>Пакет</v>
      </c>
      <c r="BE219" s="283">
        <f t="shared" ca="1" si="1075"/>
        <v>0</v>
      </c>
      <c r="BF219" s="347">
        <f t="array" aca="1" ref="BF219" ca="1">SUM($K219:$V219*$BK219:$BV219)*$AZ219</f>
        <v>0</v>
      </c>
      <c r="BG219" s="347">
        <f t="array" aca="1" ref="BG219" ca="1">SUM($K219:$V219*$BY219:$CJ219*$BK219:$BV219)*$AZ219*$BX219</f>
        <v>0</v>
      </c>
      <c r="BH219" s="347">
        <f t="array" aca="1" ref="BH219" ca="1">SUM($K219:$V219*$BY219:$CJ219*$BK219:$BV219)*(1-$BE219)*$AZ219*$BX219</f>
        <v>0</v>
      </c>
      <c r="BI219" s="350">
        <f t="shared" ca="1" si="1209"/>
        <v>0</v>
      </c>
      <c r="BJ219" s="275" t="str">
        <f t="shared" ca="1" si="1210"/>
        <v>Да</v>
      </c>
      <c r="BK219" s="116">
        <f t="shared" ca="1" si="1211"/>
        <v>0.8</v>
      </c>
      <c r="BL219" s="117">
        <f t="shared" ca="1" si="1211"/>
        <v>0.9</v>
      </c>
      <c r="BM219" s="117">
        <f t="shared" ca="1" si="1211"/>
        <v>1</v>
      </c>
      <c r="BN219" s="117">
        <f t="shared" ca="1" si="1211"/>
        <v>1</v>
      </c>
      <c r="BO219" s="117">
        <f t="shared" ca="1" si="1211"/>
        <v>1</v>
      </c>
      <c r="BP219" s="117">
        <f t="shared" ca="1" si="1211"/>
        <v>1</v>
      </c>
      <c r="BQ219" s="117">
        <f t="shared" ca="1" si="1211"/>
        <v>0.9</v>
      </c>
      <c r="BR219" s="117">
        <f t="shared" ca="1" si="1211"/>
        <v>0.9</v>
      </c>
      <c r="BS219" s="117">
        <f t="shared" ca="1" si="1211"/>
        <v>1.3</v>
      </c>
      <c r="BT219" s="117">
        <f t="shared" ca="1" si="1211"/>
        <v>1.3</v>
      </c>
      <c r="BU219" s="117">
        <f t="shared" ca="1" si="1211"/>
        <v>1.3</v>
      </c>
      <c r="BV219" s="278">
        <f t="shared" ca="1" si="1211"/>
        <v>1.3</v>
      </c>
      <c r="BW219" s="280">
        <f t="shared" si="1076"/>
        <v>10</v>
      </c>
      <c r="BX219" s="118">
        <f>IF($AN219="Ya",100%,100%+extraDelayZ)</f>
        <v>1</v>
      </c>
      <c r="BY219" s="263">
        <f t="shared" ref="BY219:BY220" si="1251">(1+AA219)</f>
        <v>1</v>
      </c>
      <c r="BZ219" s="264">
        <f t="shared" ref="BZ219:BZ220" si="1252">(1+AB219)</f>
        <v>1</v>
      </c>
      <c r="CA219" s="264">
        <f t="shared" ref="CA219:CA220" si="1253">(1+AC219)</f>
        <v>1</v>
      </c>
      <c r="CB219" s="264">
        <f t="shared" ref="CB219:CB220" si="1254">(1+AD219)</f>
        <v>1</v>
      </c>
      <c r="CC219" s="264">
        <f t="shared" ref="CC219:CC220" si="1255">(1+AE219)</f>
        <v>1</v>
      </c>
      <c r="CD219" s="264">
        <f t="shared" ref="CD219:CD220" si="1256">(1+AF219)</f>
        <v>1</v>
      </c>
      <c r="CE219" s="264">
        <f t="shared" ref="CE219:CE220" si="1257">(1+AG219)</f>
        <v>1</v>
      </c>
      <c r="CF219" s="264">
        <f t="shared" ref="CF219:CF220" si="1258">(1+AH219)</f>
        <v>1</v>
      </c>
      <c r="CG219" s="264">
        <f t="shared" ref="CG219:CG220" si="1259">(1+AI219)</f>
        <v>1</v>
      </c>
      <c r="CH219" s="264">
        <f t="shared" ref="CH219:CH220" si="1260">(1+AJ219)</f>
        <v>1</v>
      </c>
      <c r="CI219" s="264">
        <f t="shared" ref="CI219:CI220" si="1261">(1+AK219)</f>
        <v>1</v>
      </c>
      <c r="CJ219" s="265">
        <f t="shared" ref="CJ219:CJ220" si="1262">(1+AL219)</f>
        <v>1</v>
      </c>
      <c r="CK219" s="269">
        <f t="array" ref="CK219">IF(ISERROR(SUM($K219:$V219*$BY219:$CJ219)/SUM($K219:$V219)),1,SUM($K219:$V219*$BY219:$CJ219)/SUM($K219:$V219))-1</f>
        <v>0</v>
      </c>
      <c r="CL219" s="234"/>
    </row>
    <row r="220" spans="1:90" ht="12.75" hidden="1" outlineLevel="1" x14ac:dyDescent="0.2">
      <c r="B220" s="404" t="str">
        <f t="shared" ca="1" si="1191"/>
        <v>Все страницы Блогов, 728х90, Пакет "Молодёжь 18-24"</v>
      </c>
      <c r="C220" s="649" t="str">
        <f t="shared" ca="1" si="1192"/>
        <v>Пакет</v>
      </c>
      <c r="D220" s="405">
        <f t="shared" ca="1" si="1193"/>
        <v>65</v>
      </c>
      <c r="E220" s="405">
        <f t="shared" ca="1" si="1194"/>
        <v>65</v>
      </c>
      <c r="F220" s="405">
        <f t="shared" ca="1" si="1195"/>
        <v>65</v>
      </c>
      <c r="G220" s="406">
        <f t="shared" ca="1" si="1196"/>
        <v>130000</v>
      </c>
      <c r="H220" s="406">
        <f t="shared" ca="1" si="1197"/>
        <v>130000</v>
      </c>
      <c r="I220" s="406">
        <f t="shared" ca="1" si="1198"/>
        <v>0</v>
      </c>
      <c r="J220" s="407">
        <f t="shared" ca="1" si="1199"/>
        <v>0</v>
      </c>
      <c r="K220" s="408"/>
      <c r="L220" s="409"/>
      <c r="M220" s="409"/>
      <c r="N220" s="409"/>
      <c r="O220" s="409"/>
      <c r="P220" s="409"/>
      <c r="Q220" s="409"/>
      <c r="R220" s="409"/>
      <c r="S220" s="409"/>
      <c r="T220" s="409"/>
      <c r="U220" s="409"/>
      <c r="V220" s="410"/>
      <c r="W220" s="406">
        <f t="shared" ca="1" si="1060"/>
        <v>0</v>
      </c>
      <c r="X220" s="406"/>
      <c r="Y220" s="411"/>
      <c r="Z220" s="412">
        <f t="shared" si="1250"/>
        <v>0</v>
      </c>
      <c r="AA220" s="413"/>
      <c r="AB220" s="413"/>
      <c r="AC220" s="413"/>
      <c r="AD220" s="413"/>
      <c r="AE220" s="413"/>
      <c r="AF220" s="413"/>
      <c r="AG220" s="413"/>
      <c r="AH220" s="413"/>
      <c r="AI220" s="413"/>
      <c r="AJ220" s="413"/>
      <c r="AK220" s="413"/>
      <c r="AL220" s="413"/>
      <c r="AM220" s="572"/>
      <c r="AN220" s="351" t="s">
        <v>133</v>
      </c>
      <c r="AO220" s="351" t="str">
        <f t="shared" si="1074"/>
        <v>Liveinternet.ru</v>
      </c>
      <c r="AP220" s="115">
        <f t="shared" si="1156"/>
        <v>17</v>
      </c>
      <c r="AQ220" s="31" t="str">
        <f t="shared" ca="1" si="1201"/>
        <v>-</v>
      </c>
      <c r="AR220" s="31" t="str">
        <f t="shared" ca="1" si="1201"/>
        <v>-</v>
      </c>
      <c r="AS220" s="35">
        <v>0</v>
      </c>
      <c r="AT220" s="229">
        <v>0</v>
      </c>
      <c r="AU220" s="344">
        <f t="shared" ca="1" si="1202"/>
        <v>65</v>
      </c>
      <c r="AV220" s="345">
        <f t="shared" ca="1" si="1203"/>
        <v>65</v>
      </c>
      <c r="AW220" s="346">
        <f t="shared" ca="1" si="1204"/>
        <v>65</v>
      </c>
      <c r="AX220" s="280"/>
      <c r="AY220" s="280"/>
      <c r="AZ220" s="347">
        <f t="shared" ca="1" si="1205"/>
        <v>130000</v>
      </c>
      <c r="BA220" s="348">
        <f t="shared" ca="1" si="1206"/>
        <v>130000</v>
      </c>
      <c r="BB220" s="347">
        <f t="shared" ca="1" si="1207"/>
        <v>2000</v>
      </c>
      <c r="BC220" s="37" t="str">
        <f t="shared" ca="1" si="1207"/>
        <v>Пакет</v>
      </c>
      <c r="BD220" s="229" t="str">
        <f t="shared" ca="1" si="1208"/>
        <v>Пакет</v>
      </c>
      <c r="BE220" s="283">
        <f t="shared" ca="1" si="1075"/>
        <v>0</v>
      </c>
      <c r="BF220" s="347">
        <f t="array" aca="1" ref="BF220" ca="1">SUM($K220:$V220*$BK220:$BV220)*$AZ220</f>
        <v>0</v>
      </c>
      <c r="BG220" s="347">
        <f t="array" aca="1" ref="BG220" ca="1">SUM($K220:$V220*$BY220:$CJ220*$BK220:$BV220)*$AZ220*$BX220</f>
        <v>0</v>
      </c>
      <c r="BH220" s="347">
        <f t="array" aca="1" ref="BH220" ca="1">SUM($K220:$V220*$BY220:$CJ220*$BK220:$BV220)*(1-$BE220)*$AZ220*$BX220</f>
        <v>0</v>
      </c>
      <c r="BI220" s="350">
        <f t="shared" ca="1" si="1209"/>
        <v>0</v>
      </c>
      <c r="BJ220" s="275" t="str">
        <f t="shared" ca="1" si="1210"/>
        <v>Да</v>
      </c>
      <c r="BK220" s="116">
        <f t="shared" ca="1" si="1211"/>
        <v>0.8</v>
      </c>
      <c r="BL220" s="117">
        <f t="shared" ca="1" si="1211"/>
        <v>0.9</v>
      </c>
      <c r="BM220" s="117">
        <f t="shared" ca="1" si="1211"/>
        <v>1</v>
      </c>
      <c r="BN220" s="117">
        <f t="shared" ca="1" si="1211"/>
        <v>1</v>
      </c>
      <c r="BO220" s="117">
        <f t="shared" ca="1" si="1211"/>
        <v>1</v>
      </c>
      <c r="BP220" s="117">
        <f t="shared" ca="1" si="1211"/>
        <v>1</v>
      </c>
      <c r="BQ220" s="117">
        <f t="shared" ca="1" si="1211"/>
        <v>0.9</v>
      </c>
      <c r="BR220" s="117">
        <f t="shared" ca="1" si="1211"/>
        <v>0.9</v>
      </c>
      <c r="BS220" s="117">
        <f t="shared" ca="1" si="1211"/>
        <v>1.3</v>
      </c>
      <c r="BT220" s="117">
        <f t="shared" ca="1" si="1211"/>
        <v>1.3</v>
      </c>
      <c r="BU220" s="117">
        <f t="shared" ca="1" si="1211"/>
        <v>1.3</v>
      </c>
      <c r="BV220" s="278">
        <f t="shared" ca="1" si="1211"/>
        <v>1.3</v>
      </c>
      <c r="BW220" s="280">
        <f t="shared" si="1076"/>
        <v>11</v>
      </c>
      <c r="BX220" s="118">
        <f>IF($AN220="Ya",100%,100%+extraDelayZ)</f>
        <v>1</v>
      </c>
      <c r="BY220" s="263">
        <f t="shared" si="1251"/>
        <v>1</v>
      </c>
      <c r="BZ220" s="264">
        <f t="shared" si="1252"/>
        <v>1</v>
      </c>
      <c r="CA220" s="264">
        <f t="shared" si="1253"/>
        <v>1</v>
      </c>
      <c r="CB220" s="264">
        <f t="shared" si="1254"/>
        <v>1</v>
      </c>
      <c r="CC220" s="264">
        <f t="shared" si="1255"/>
        <v>1</v>
      </c>
      <c r="CD220" s="264">
        <f t="shared" si="1256"/>
        <v>1</v>
      </c>
      <c r="CE220" s="264">
        <f t="shared" si="1257"/>
        <v>1</v>
      </c>
      <c r="CF220" s="264">
        <f t="shared" si="1258"/>
        <v>1</v>
      </c>
      <c r="CG220" s="264">
        <f t="shared" si="1259"/>
        <v>1</v>
      </c>
      <c r="CH220" s="264">
        <f t="shared" si="1260"/>
        <v>1</v>
      </c>
      <c r="CI220" s="264">
        <f t="shared" si="1261"/>
        <v>1</v>
      </c>
      <c r="CJ220" s="265">
        <f t="shared" si="1262"/>
        <v>1</v>
      </c>
      <c r="CK220" s="269">
        <f t="array" ref="CK220">IF(ISERROR(SUM($K220:$V220*$BY220:$CJ220)/SUM($K220:$V220)),1,SUM($K220:$V220*$BY220:$CJ220)/SUM($K220:$V220))-1</f>
        <v>0</v>
      </c>
      <c r="CL220" s="234"/>
    </row>
    <row r="221" spans="1:90" ht="12.75" hidden="1" outlineLevel="1" x14ac:dyDescent="0.2">
      <c r="B221" s="404" t="str">
        <f t="shared" ca="1" si="1191"/>
        <v>Все страницы Блогов, 240х400, Пакет "Технологии"</v>
      </c>
      <c r="C221" s="649" t="str">
        <f t="shared" ca="1" si="1192"/>
        <v>Пакет</v>
      </c>
      <c r="D221" s="405">
        <f t="shared" ca="1" si="1193"/>
        <v>90</v>
      </c>
      <c r="E221" s="405">
        <f t="shared" ca="1" si="1194"/>
        <v>90</v>
      </c>
      <c r="F221" s="405">
        <f t="shared" ca="1" si="1195"/>
        <v>90</v>
      </c>
      <c r="G221" s="406">
        <f t="shared" ca="1" si="1196"/>
        <v>135000</v>
      </c>
      <c r="H221" s="406">
        <f t="shared" ca="1" si="1197"/>
        <v>135000</v>
      </c>
      <c r="I221" s="406">
        <f t="shared" ca="1" si="1198"/>
        <v>0</v>
      </c>
      <c r="J221" s="407">
        <f t="shared" ca="1" si="1199"/>
        <v>0</v>
      </c>
      <c r="K221" s="408"/>
      <c r="L221" s="409"/>
      <c r="M221" s="409"/>
      <c r="N221" s="409"/>
      <c r="O221" s="409"/>
      <c r="P221" s="409"/>
      <c r="Q221" s="409"/>
      <c r="R221" s="409"/>
      <c r="S221" s="409"/>
      <c r="T221" s="409"/>
      <c r="U221" s="409"/>
      <c r="V221" s="410"/>
      <c r="W221" s="406">
        <f t="shared" ca="1" si="1060"/>
        <v>0</v>
      </c>
      <c r="X221" s="406"/>
      <c r="Y221" s="411"/>
      <c r="Z221" s="412">
        <f t="shared" si="1200"/>
        <v>0</v>
      </c>
      <c r="AA221" s="413"/>
      <c r="AB221" s="413"/>
      <c r="AC221" s="413"/>
      <c r="AD221" s="413"/>
      <c r="AE221" s="413"/>
      <c r="AF221" s="413"/>
      <c r="AG221" s="413"/>
      <c r="AH221" s="413"/>
      <c r="AI221" s="413"/>
      <c r="AJ221" s="413"/>
      <c r="AK221" s="413"/>
      <c r="AL221" s="413"/>
      <c r="AM221" s="572"/>
      <c r="AN221" s="351" t="s">
        <v>133</v>
      </c>
      <c r="AO221" s="351" t="str">
        <f t="shared" si="1074"/>
        <v>Liveinternet.ru</v>
      </c>
      <c r="AP221" s="115">
        <f t="shared" si="1156"/>
        <v>17</v>
      </c>
      <c r="AQ221" s="31" t="str">
        <f t="shared" ca="1" si="1201"/>
        <v>-</v>
      </c>
      <c r="AR221" s="31" t="str">
        <f t="shared" ca="1" si="1201"/>
        <v>-</v>
      </c>
      <c r="AS221" s="35">
        <v>0</v>
      </c>
      <c r="AT221" s="229">
        <v>0</v>
      </c>
      <c r="AU221" s="344">
        <f t="shared" ca="1" si="1202"/>
        <v>90</v>
      </c>
      <c r="AV221" s="345">
        <f t="shared" ca="1" si="1203"/>
        <v>90</v>
      </c>
      <c r="AW221" s="346">
        <f t="shared" ca="1" si="1204"/>
        <v>90</v>
      </c>
      <c r="AX221" s="280"/>
      <c r="AY221" s="280"/>
      <c r="AZ221" s="347">
        <f t="shared" ca="1" si="1205"/>
        <v>135000</v>
      </c>
      <c r="BA221" s="348">
        <f t="shared" ca="1" si="1206"/>
        <v>135000</v>
      </c>
      <c r="BB221" s="347">
        <f t="shared" ca="1" si="1207"/>
        <v>1500</v>
      </c>
      <c r="BC221" s="37" t="str">
        <f t="shared" ca="1" si="1207"/>
        <v>Пакет</v>
      </c>
      <c r="BD221" s="229" t="str">
        <f t="shared" ca="1" si="1208"/>
        <v>Пакет</v>
      </c>
      <c r="BE221" s="283">
        <f t="shared" ca="1" si="1075"/>
        <v>0</v>
      </c>
      <c r="BF221" s="347">
        <f t="array" aca="1" ref="BF221" ca="1">SUM($K221:$V221*$BK221:$BV221)*$AZ221</f>
        <v>0</v>
      </c>
      <c r="BG221" s="347">
        <f t="array" aca="1" ref="BG221" ca="1">SUM($K221:$V221*$BY221:$CJ221*$BK221:$BV221)*$AZ221*$BX221</f>
        <v>0</v>
      </c>
      <c r="BH221" s="347">
        <f t="array" aca="1" ref="BH221" ca="1">SUM($K221:$V221*$BY221:$CJ221*$BK221:$BV221)*(1-$BE221)*$AZ221*$BX221</f>
        <v>0</v>
      </c>
      <c r="BI221" s="350">
        <f t="shared" ca="1" si="1209"/>
        <v>0</v>
      </c>
      <c r="BJ221" s="275" t="str">
        <f t="shared" ca="1" si="1210"/>
        <v>Да</v>
      </c>
      <c r="BK221" s="116">
        <f t="shared" ca="1" si="1211"/>
        <v>0.8</v>
      </c>
      <c r="BL221" s="117">
        <f t="shared" ca="1" si="1211"/>
        <v>0.9</v>
      </c>
      <c r="BM221" s="117">
        <f t="shared" ca="1" si="1211"/>
        <v>1</v>
      </c>
      <c r="BN221" s="117">
        <f t="shared" ca="1" si="1211"/>
        <v>1</v>
      </c>
      <c r="BO221" s="117">
        <f t="shared" ca="1" si="1211"/>
        <v>1</v>
      </c>
      <c r="BP221" s="117">
        <f t="shared" ca="1" si="1211"/>
        <v>1</v>
      </c>
      <c r="BQ221" s="117">
        <f t="shared" ca="1" si="1211"/>
        <v>0.9</v>
      </c>
      <c r="BR221" s="117">
        <f t="shared" ca="1" si="1211"/>
        <v>0.9</v>
      </c>
      <c r="BS221" s="117">
        <f t="shared" ca="1" si="1211"/>
        <v>1.3</v>
      </c>
      <c r="BT221" s="117">
        <f t="shared" ca="1" si="1211"/>
        <v>1.3</v>
      </c>
      <c r="BU221" s="117">
        <f t="shared" ca="1" si="1211"/>
        <v>1.3</v>
      </c>
      <c r="BV221" s="278">
        <f t="shared" ca="1" si="1211"/>
        <v>1.3</v>
      </c>
      <c r="BW221" s="280">
        <f t="shared" si="1076"/>
        <v>12</v>
      </c>
      <c r="BX221" s="118">
        <f>IF($AN221="Ya",100%,100%+extraDelayZ)</f>
        <v>1</v>
      </c>
      <c r="BY221" s="263">
        <f t="shared" si="1212"/>
        <v>1</v>
      </c>
      <c r="BZ221" s="264">
        <f t="shared" si="1213"/>
        <v>1</v>
      </c>
      <c r="CA221" s="264">
        <f t="shared" si="1214"/>
        <v>1</v>
      </c>
      <c r="CB221" s="264">
        <f t="shared" si="1215"/>
        <v>1</v>
      </c>
      <c r="CC221" s="264">
        <f t="shared" si="1216"/>
        <v>1</v>
      </c>
      <c r="CD221" s="264">
        <f t="shared" si="1217"/>
        <v>1</v>
      </c>
      <c r="CE221" s="264">
        <f t="shared" si="1218"/>
        <v>1</v>
      </c>
      <c r="CF221" s="264">
        <f t="shared" si="1219"/>
        <v>1</v>
      </c>
      <c r="CG221" s="264">
        <f t="shared" si="1220"/>
        <v>1</v>
      </c>
      <c r="CH221" s="264">
        <f t="shared" si="1221"/>
        <v>1</v>
      </c>
      <c r="CI221" s="264">
        <f t="shared" si="1222"/>
        <v>1</v>
      </c>
      <c r="CJ221" s="265">
        <f t="shared" si="1223"/>
        <v>1</v>
      </c>
      <c r="CK221" s="269">
        <f t="array" ref="CK221">IF(ISERROR(SUM($K221:$V221*$BY221:$CJ221)/SUM($K221:$V221)),1,SUM($K221:$V221*$BY221:$CJ221)/SUM($K221:$V221))-1</f>
        <v>0</v>
      </c>
      <c r="CL221" s="234"/>
    </row>
    <row r="222" spans="1:90" ht="12.75" hidden="1" outlineLevel="1" x14ac:dyDescent="0.2">
      <c r="B222" s="404" t="str">
        <f t="shared" ca="1" si="1191"/>
        <v>Все страницы Блогов, 240х400, Пакет "Авто"</v>
      </c>
      <c r="C222" s="649" t="str">
        <f t="shared" ca="1" si="1192"/>
        <v>Пакет</v>
      </c>
      <c r="D222" s="405">
        <f t="shared" ca="1" si="1193"/>
        <v>90</v>
      </c>
      <c r="E222" s="405">
        <f t="shared" ca="1" si="1194"/>
        <v>90</v>
      </c>
      <c r="F222" s="405">
        <f t="shared" ca="1" si="1195"/>
        <v>90</v>
      </c>
      <c r="G222" s="406">
        <f t="shared" ca="1" si="1196"/>
        <v>90000</v>
      </c>
      <c r="H222" s="406">
        <f t="shared" ca="1" si="1197"/>
        <v>90000</v>
      </c>
      <c r="I222" s="406">
        <f t="shared" ca="1" si="1198"/>
        <v>0</v>
      </c>
      <c r="J222" s="407">
        <f t="shared" ca="1" si="1199"/>
        <v>0</v>
      </c>
      <c r="K222" s="408"/>
      <c r="L222" s="409"/>
      <c r="M222" s="409"/>
      <c r="N222" s="409"/>
      <c r="O222" s="409"/>
      <c r="P222" s="409"/>
      <c r="Q222" s="409"/>
      <c r="R222" s="409"/>
      <c r="S222" s="409"/>
      <c r="T222" s="409"/>
      <c r="U222" s="409"/>
      <c r="V222" s="410"/>
      <c r="W222" s="406">
        <f t="shared" ca="1" si="1060"/>
        <v>0</v>
      </c>
      <c r="X222" s="406"/>
      <c r="Y222" s="411"/>
      <c r="Z222" s="412">
        <f t="shared" si="1200"/>
        <v>0</v>
      </c>
      <c r="AA222" s="413"/>
      <c r="AB222" s="413"/>
      <c r="AC222" s="413"/>
      <c r="AD222" s="413"/>
      <c r="AE222" s="413"/>
      <c r="AF222" s="413"/>
      <c r="AG222" s="413"/>
      <c r="AH222" s="413"/>
      <c r="AI222" s="413"/>
      <c r="AJ222" s="413"/>
      <c r="AK222" s="413"/>
      <c r="AL222" s="413"/>
      <c r="AM222" s="572"/>
      <c r="AN222" s="351" t="s">
        <v>133</v>
      </c>
      <c r="AO222" s="351" t="str">
        <f t="shared" si="1074"/>
        <v>Liveinternet.ru</v>
      </c>
      <c r="AP222" s="115">
        <f t="shared" si="1156"/>
        <v>17</v>
      </c>
      <c r="AQ222" s="31" t="str">
        <f t="shared" ca="1" si="1201"/>
        <v>-</v>
      </c>
      <c r="AR222" s="31" t="str">
        <f t="shared" ca="1" si="1201"/>
        <v>-</v>
      </c>
      <c r="AS222" s="35">
        <v>0</v>
      </c>
      <c r="AT222" s="229">
        <v>0</v>
      </c>
      <c r="AU222" s="344">
        <f t="shared" ca="1" si="1202"/>
        <v>90</v>
      </c>
      <c r="AV222" s="345">
        <f t="shared" ca="1" si="1203"/>
        <v>90</v>
      </c>
      <c r="AW222" s="346">
        <f t="shared" ca="1" si="1204"/>
        <v>90</v>
      </c>
      <c r="AX222" s="280"/>
      <c r="AY222" s="280"/>
      <c r="AZ222" s="347">
        <f t="shared" ca="1" si="1205"/>
        <v>90000</v>
      </c>
      <c r="BA222" s="348">
        <f t="shared" ca="1" si="1206"/>
        <v>90000</v>
      </c>
      <c r="BB222" s="347">
        <f t="shared" ca="1" si="1207"/>
        <v>1000</v>
      </c>
      <c r="BC222" s="37" t="str">
        <f t="shared" ca="1" si="1207"/>
        <v>Пакет</v>
      </c>
      <c r="BD222" s="229" t="str">
        <f t="shared" ca="1" si="1208"/>
        <v>Пакет</v>
      </c>
      <c r="BE222" s="283">
        <f t="shared" ca="1" si="1075"/>
        <v>0</v>
      </c>
      <c r="BF222" s="347">
        <f t="array" aca="1" ref="BF222" ca="1">SUM($K222:$V222*$BK222:$BV222)*$AZ222</f>
        <v>0</v>
      </c>
      <c r="BG222" s="347">
        <f t="array" aca="1" ref="BG222" ca="1">SUM($K222:$V222*$BY222:$CJ222*$BK222:$BV222)*$AZ222*$BX222</f>
        <v>0</v>
      </c>
      <c r="BH222" s="347">
        <f t="array" aca="1" ref="BH222" ca="1">SUM($K222:$V222*$BY222:$CJ222*$BK222:$BV222)*(1-$BE222)*$AZ222*$BX222</f>
        <v>0</v>
      </c>
      <c r="BI222" s="350">
        <f t="shared" ca="1" si="1209"/>
        <v>0</v>
      </c>
      <c r="BJ222" s="275" t="str">
        <f t="shared" ca="1" si="1210"/>
        <v>Да</v>
      </c>
      <c r="BK222" s="116">
        <f t="shared" ca="1" si="1211"/>
        <v>0.8</v>
      </c>
      <c r="BL222" s="117">
        <f t="shared" ca="1" si="1211"/>
        <v>0.9</v>
      </c>
      <c r="BM222" s="117">
        <f t="shared" ca="1" si="1211"/>
        <v>1</v>
      </c>
      <c r="BN222" s="117">
        <f t="shared" ca="1" si="1211"/>
        <v>1</v>
      </c>
      <c r="BO222" s="117">
        <f t="shared" ca="1" si="1211"/>
        <v>1</v>
      </c>
      <c r="BP222" s="117">
        <f t="shared" ca="1" si="1211"/>
        <v>1</v>
      </c>
      <c r="BQ222" s="117">
        <f t="shared" ca="1" si="1211"/>
        <v>0.9</v>
      </c>
      <c r="BR222" s="117">
        <f t="shared" ca="1" si="1211"/>
        <v>0.9</v>
      </c>
      <c r="BS222" s="117">
        <f t="shared" ca="1" si="1211"/>
        <v>1.3</v>
      </c>
      <c r="BT222" s="117">
        <f t="shared" ca="1" si="1211"/>
        <v>1.3</v>
      </c>
      <c r="BU222" s="117">
        <f t="shared" ca="1" si="1211"/>
        <v>1.3</v>
      </c>
      <c r="BV222" s="278">
        <f t="shared" ca="1" si="1211"/>
        <v>1.3</v>
      </c>
      <c r="BW222" s="280">
        <f t="shared" si="1076"/>
        <v>13</v>
      </c>
      <c r="BX222" s="118">
        <f>IF($AN222="Ya",100%,100%+extraDelayZ)</f>
        <v>1</v>
      </c>
      <c r="BY222" s="263">
        <f t="shared" si="1212"/>
        <v>1</v>
      </c>
      <c r="BZ222" s="264">
        <f t="shared" si="1213"/>
        <v>1</v>
      </c>
      <c r="CA222" s="264">
        <f t="shared" si="1214"/>
        <v>1</v>
      </c>
      <c r="CB222" s="264">
        <f t="shared" si="1215"/>
        <v>1</v>
      </c>
      <c r="CC222" s="264">
        <f t="shared" si="1216"/>
        <v>1</v>
      </c>
      <c r="CD222" s="264">
        <f t="shared" si="1217"/>
        <v>1</v>
      </c>
      <c r="CE222" s="264">
        <f t="shared" si="1218"/>
        <v>1</v>
      </c>
      <c r="CF222" s="264">
        <f t="shared" si="1219"/>
        <v>1</v>
      </c>
      <c r="CG222" s="264">
        <f t="shared" si="1220"/>
        <v>1</v>
      </c>
      <c r="CH222" s="264">
        <f t="shared" si="1221"/>
        <v>1</v>
      </c>
      <c r="CI222" s="264">
        <f t="shared" si="1222"/>
        <v>1</v>
      </c>
      <c r="CJ222" s="265">
        <f t="shared" si="1223"/>
        <v>1</v>
      </c>
      <c r="CK222" s="269">
        <f t="array" ref="CK222">IF(ISERROR(SUM($K222:$V222*$BY222:$CJ222)/SUM($K222:$V222)),1,SUM($K222:$V222*$BY222:$CJ222)/SUM($K222:$V222))-1</f>
        <v>0</v>
      </c>
      <c r="CL222" s="234"/>
    </row>
    <row r="223" spans="1:90" ht="12.75" hidden="1" outlineLevel="1" x14ac:dyDescent="0.2">
      <c r="B223" s="404" t="str">
        <f t="shared" ca="1" si="1191"/>
        <v>Все страницы Блогов, 240х400, Пакет "Связь"</v>
      </c>
      <c r="C223" s="649" t="str">
        <f t="shared" ca="1" si="1192"/>
        <v>Пакет</v>
      </c>
      <c r="D223" s="405">
        <f t="shared" ca="1" si="1193"/>
        <v>90</v>
      </c>
      <c r="E223" s="405">
        <f t="shared" ca="1" si="1194"/>
        <v>90</v>
      </c>
      <c r="F223" s="405">
        <f t="shared" ca="1" si="1195"/>
        <v>90</v>
      </c>
      <c r="G223" s="406">
        <f t="shared" ca="1" si="1196"/>
        <v>135000</v>
      </c>
      <c r="H223" s="406">
        <f t="shared" ca="1" si="1197"/>
        <v>135000</v>
      </c>
      <c r="I223" s="406">
        <f t="shared" ca="1" si="1198"/>
        <v>0</v>
      </c>
      <c r="J223" s="407">
        <f t="shared" ca="1" si="1199"/>
        <v>0</v>
      </c>
      <c r="K223" s="408"/>
      <c r="L223" s="409"/>
      <c r="M223" s="409"/>
      <c r="N223" s="409"/>
      <c r="O223" s="409"/>
      <c r="P223" s="409"/>
      <c r="Q223" s="409"/>
      <c r="R223" s="409"/>
      <c r="S223" s="409"/>
      <c r="T223" s="409"/>
      <c r="U223" s="409"/>
      <c r="V223" s="410"/>
      <c r="W223" s="406">
        <f t="shared" ca="1" si="1060"/>
        <v>0</v>
      </c>
      <c r="X223" s="406"/>
      <c r="Y223" s="411"/>
      <c r="Z223" s="412">
        <f t="shared" ref="Z223:Z224" si="1263">CK223</f>
        <v>0</v>
      </c>
      <c r="AA223" s="413"/>
      <c r="AB223" s="413"/>
      <c r="AC223" s="413"/>
      <c r="AD223" s="413"/>
      <c r="AE223" s="413"/>
      <c r="AF223" s="413"/>
      <c r="AG223" s="413"/>
      <c r="AH223" s="413"/>
      <c r="AI223" s="413"/>
      <c r="AJ223" s="413"/>
      <c r="AK223" s="413"/>
      <c r="AL223" s="413"/>
      <c r="AM223" s="572"/>
      <c r="AN223" s="351" t="s">
        <v>133</v>
      </c>
      <c r="AO223" s="351" t="str">
        <f t="shared" si="1074"/>
        <v>Liveinternet.ru</v>
      </c>
      <c r="AP223" s="115">
        <f t="shared" si="1156"/>
        <v>17</v>
      </c>
      <c r="AQ223" s="31" t="str">
        <f t="shared" ca="1" si="1201"/>
        <v>-</v>
      </c>
      <c r="AR223" s="31" t="str">
        <f t="shared" ca="1" si="1201"/>
        <v>-</v>
      </c>
      <c r="AS223" s="35">
        <v>0</v>
      </c>
      <c r="AT223" s="229">
        <v>0</v>
      </c>
      <c r="AU223" s="344">
        <f t="shared" ca="1" si="1202"/>
        <v>90</v>
      </c>
      <c r="AV223" s="345">
        <f t="shared" ca="1" si="1203"/>
        <v>90</v>
      </c>
      <c r="AW223" s="346">
        <f t="shared" ca="1" si="1204"/>
        <v>90</v>
      </c>
      <c r="AX223" s="280"/>
      <c r="AY223" s="280"/>
      <c r="AZ223" s="347">
        <f t="shared" ca="1" si="1205"/>
        <v>135000</v>
      </c>
      <c r="BA223" s="348">
        <f t="shared" ca="1" si="1206"/>
        <v>135000</v>
      </c>
      <c r="BB223" s="347">
        <f t="shared" ca="1" si="1207"/>
        <v>1500</v>
      </c>
      <c r="BC223" s="37" t="str">
        <f t="shared" ca="1" si="1207"/>
        <v>Пакет</v>
      </c>
      <c r="BD223" s="229" t="str">
        <f t="shared" ca="1" si="1208"/>
        <v>Пакет</v>
      </c>
      <c r="BE223" s="283">
        <f t="shared" ca="1" si="1075"/>
        <v>0</v>
      </c>
      <c r="BF223" s="347">
        <f t="array" aca="1" ref="BF223" ca="1">SUM($K223:$V223*$BK223:$BV223)*$AZ223</f>
        <v>0</v>
      </c>
      <c r="BG223" s="347">
        <f t="array" aca="1" ref="BG223" ca="1">SUM($K223:$V223*$BY223:$CJ223*$BK223:$BV223)*$AZ223*$BX223</f>
        <v>0</v>
      </c>
      <c r="BH223" s="347">
        <f t="array" aca="1" ref="BH223" ca="1">SUM($K223:$V223*$BY223:$CJ223*$BK223:$BV223)*(1-$BE223)*$AZ223*$BX223</f>
        <v>0</v>
      </c>
      <c r="BI223" s="350">
        <f t="shared" ca="1" si="1209"/>
        <v>0</v>
      </c>
      <c r="BJ223" s="275" t="str">
        <f t="shared" ca="1" si="1210"/>
        <v>Да</v>
      </c>
      <c r="BK223" s="116">
        <f t="shared" ca="1" si="1211"/>
        <v>0.8</v>
      </c>
      <c r="BL223" s="117">
        <f t="shared" ca="1" si="1211"/>
        <v>0.9</v>
      </c>
      <c r="BM223" s="117">
        <f t="shared" ca="1" si="1211"/>
        <v>1</v>
      </c>
      <c r="BN223" s="117">
        <f t="shared" ca="1" si="1211"/>
        <v>1</v>
      </c>
      <c r="BO223" s="117">
        <f t="shared" ca="1" si="1211"/>
        <v>1</v>
      </c>
      <c r="BP223" s="117">
        <f t="shared" ca="1" si="1211"/>
        <v>1</v>
      </c>
      <c r="BQ223" s="117">
        <f t="shared" ca="1" si="1211"/>
        <v>0.9</v>
      </c>
      <c r="BR223" s="117">
        <f t="shared" ca="1" si="1211"/>
        <v>0.9</v>
      </c>
      <c r="BS223" s="117">
        <f t="shared" ca="1" si="1211"/>
        <v>1.3</v>
      </c>
      <c r="BT223" s="117">
        <f t="shared" ca="1" si="1211"/>
        <v>1.3</v>
      </c>
      <c r="BU223" s="117">
        <f t="shared" ca="1" si="1211"/>
        <v>1.3</v>
      </c>
      <c r="BV223" s="278">
        <f t="shared" ca="1" si="1211"/>
        <v>1.3</v>
      </c>
      <c r="BW223" s="280">
        <f t="shared" si="1076"/>
        <v>14</v>
      </c>
      <c r="BX223" s="118">
        <f>IF($AN223="Ya",100%,100%+extraDelayZ)</f>
        <v>1</v>
      </c>
      <c r="BY223" s="263">
        <f t="shared" ref="BY223:BY224" si="1264">(1+AA223)</f>
        <v>1</v>
      </c>
      <c r="BZ223" s="264">
        <f t="shared" ref="BZ223:BZ224" si="1265">(1+AB223)</f>
        <v>1</v>
      </c>
      <c r="CA223" s="264">
        <f t="shared" ref="CA223:CA224" si="1266">(1+AC223)</f>
        <v>1</v>
      </c>
      <c r="CB223" s="264">
        <f t="shared" ref="CB223:CB224" si="1267">(1+AD223)</f>
        <v>1</v>
      </c>
      <c r="CC223" s="264">
        <f t="shared" ref="CC223:CC224" si="1268">(1+AE223)</f>
        <v>1</v>
      </c>
      <c r="CD223" s="264">
        <f t="shared" ref="CD223:CD224" si="1269">(1+AF223)</f>
        <v>1</v>
      </c>
      <c r="CE223" s="264">
        <f t="shared" ref="CE223:CE224" si="1270">(1+AG223)</f>
        <v>1</v>
      </c>
      <c r="CF223" s="264">
        <f t="shared" ref="CF223:CF224" si="1271">(1+AH223)</f>
        <v>1</v>
      </c>
      <c r="CG223" s="264">
        <f t="shared" ref="CG223:CG224" si="1272">(1+AI223)</f>
        <v>1</v>
      </c>
      <c r="CH223" s="264">
        <f t="shared" ref="CH223:CH224" si="1273">(1+AJ223)</f>
        <v>1</v>
      </c>
      <c r="CI223" s="264">
        <f t="shared" ref="CI223:CI224" si="1274">(1+AK223)</f>
        <v>1</v>
      </c>
      <c r="CJ223" s="265">
        <f t="shared" ref="CJ223:CJ224" si="1275">(1+AL223)</f>
        <v>1</v>
      </c>
      <c r="CK223" s="269">
        <f t="array" ref="CK223">IF(ISERROR(SUM($K223:$V223*$BY223:$CJ223)/SUM($K223:$V223)),1,SUM($K223:$V223*$BY223:$CJ223)/SUM($K223:$V223))-1</f>
        <v>0</v>
      </c>
      <c r="CL223" s="234"/>
    </row>
    <row r="224" spans="1:90" ht="12.75" hidden="1" outlineLevel="1" x14ac:dyDescent="0.2">
      <c r="B224" s="404" t="str">
        <f t="shared" ca="1" si="1191"/>
        <v>Все страницы Блогов, 240х400, Пакет "Женщины"</v>
      </c>
      <c r="C224" s="649" t="str">
        <f t="shared" ca="1" si="1192"/>
        <v>Пакет</v>
      </c>
      <c r="D224" s="405">
        <f t="shared" ca="1" si="1193"/>
        <v>80</v>
      </c>
      <c r="E224" s="405">
        <f t="shared" ca="1" si="1194"/>
        <v>80</v>
      </c>
      <c r="F224" s="405">
        <f t="shared" ca="1" si="1195"/>
        <v>80</v>
      </c>
      <c r="G224" s="406">
        <f t="shared" ca="1" si="1196"/>
        <v>400000</v>
      </c>
      <c r="H224" s="406">
        <f t="shared" ca="1" si="1197"/>
        <v>400000</v>
      </c>
      <c r="I224" s="406">
        <f t="shared" ca="1" si="1198"/>
        <v>0</v>
      </c>
      <c r="J224" s="407">
        <f t="shared" ca="1" si="1199"/>
        <v>0</v>
      </c>
      <c r="K224" s="408"/>
      <c r="L224" s="409"/>
      <c r="M224" s="409"/>
      <c r="N224" s="409"/>
      <c r="O224" s="409"/>
      <c r="P224" s="409"/>
      <c r="Q224" s="409"/>
      <c r="R224" s="409"/>
      <c r="S224" s="409"/>
      <c r="T224" s="409"/>
      <c r="U224" s="409"/>
      <c r="V224" s="410"/>
      <c r="W224" s="406">
        <f t="shared" ca="1" si="1060"/>
        <v>0</v>
      </c>
      <c r="X224" s="406"/>
      <c r="Y224" s="411"/>
      <c r="Z224" s="412">
        <f t="shared" si="1263"/>
        <v>0</v>
      </c>
      <c r="AA224" s="413"/>
      <c r="AB224" s="413"/>
      <c r="AC224" s="413"/>
      <c r="AD224" s="413"/>
      <c r="AE224" s="413"/>
      <c r="AF224" s="413"/>
      <c r="AG224" s="413"/>
      <c r="AH224" s="413"/>
      <c r="AI224" s="413"/>
      <c r="AJ224" s="413"/>
      <c r="AK224" s="413"/>
      <c r="AL224" s="413"/>
      <c r="AM224" s="572"/>
      <c r="AN224" s="351" t="s">
        <v>133</v>
      </c>
      <c r="AO224" s="351" t="str">
        <f t="shared" si="1074"/>
        <v>Liveinternet.ru</v>
      </c>
      <c r="AP224" s="115">
        <f t="shared" si="1156"/>
        <v>17</v>
      </c>
      <c r="AQ224" s="31" t="str">
        <f t="shared" ca="1" si="1201"/>
        <v>-</v>
      </c>
      <c r="AR224" s="31" t="str">
        <f t="shared" ca="1" si="1201"/>
        <v>-</v>
      </c>
      <c r="AS224" s="35">
        <v>0</v>
      </c>
      <c r="AT224" s="229">
        <v>0</v>
      </c>
      <c r="AU224" s="344">
        <f t="shared" ca="1" si="1202"/>
        <v>80</v>
      </c>
      <c r="AV224" s="345">
        <f t="shared" ca="1" si="1203"/>
        <v>80</v>
      </c>
      <c r="AW224" s="346">
        <f t="shared" ca="1" si="1204"/>
        <v>80</v>
      </c>
      <c r="AX224" s="280"/>
      <c r="AY224" s="280"/>
      <c r="AZ224" s="347">
        <f t="shared" ca="1" si="1205"/>
        <v>400000</v>
      </c>
      <c r="BA224" s="348">
        <f t="shared" ca="1" si="1206"/>
        <v>400000</v>
      </c>
      <c r="BB224" s="347">
        <f t="shared" ca="1" si="1207"/>
        <v>5000</v>
      </c>
      <c r="BC224" s="37" t="str">
        <f t="shared" ca="1" si="1207"/>
        <v>Пакет</v>
      </c>
      <c r="BD224" s="229" t="str">
        <f t="shared" ca="1" si="1208"/>
        <v>Пакет</v>
      </c>
      <c r="BE224" s="283">
        <f t="shared" ca="1" si="1075"/>
        <v>0</v>
      </c>
      <c r="BF224" s="347">
        <f t="array" aca="1" ref="BF224" ca="1">SUM($K224:$V224*$BK224:$BV224)*$AZ224</f>
        <v>0</v>
      </c>
      <c r="BG224" s="347">
        <f t="array" aca="1" ref="BG224" ca="1">SUM($K224:$V224*$BY224:$CJ224*$BK224:$BV224)*$AZ224*$BX224</f>
        <v>0</v>
      </c>
      <c r="BH224" s="347">
        <f t="array" aca="1" ref="BH224" ca="1">SUM($K224:$V224*$BY224:$CJ224*$BK224:$BV224)*(1-$BE224)*$AZ224*$BX224</f>
        <v>0</v>
      </c>
      <c r="BI224" s="350">
        <f t="shared" ca="1" si="1209"/>
        <v>0</v>
      </c>
      <c r="BJ224" s="275" t="str">
        <f t="shared" ca="1" si="1210"/>
        <v>Да</v>
      </c>
      <c r="BK224" s="116">
        <f t="shared" ca="1" si="1211"/>
        <v>0.8</v>
      </c>
      <c r="BL224" s="117">
        <f t="shared" ca="1" si="1211"/>
        <v>0.9</v>
      </c>
      <c r="BM224" s="117">
        <f t="shared" ca="1" si="1211"/>
        <v>1</v>
      </c>
      <c r="BN224" s="117">
        <f t="shared" ca="1" si="1211"/>
        <v>1</v>
      </c>
      <c r="BO224" s="117">
        <f t="shared" ca="1" si="1211"/>
        <v>1</v>
      </c>
      <c r="BP224" s="117">
        <f t="shared" ca="1" si="1211"/>
        <v>1</v>
      </c>
      <c r="BQ224" s="117">
        <f t="shared" ca="1" si="1211"/>
        <v>0.9</v>
      </c>
      <c r="BR224" s="117">
        <f t="shared" ca="1" si="1211"/>
        <v>0.9</v>
      </c>
      <c r="BS224" s="117">
        <f t="shared" ca="1" si="1211"/>
        <v>1.3</v>
      </c>
      <c r="BT224" s="117">
        <f t="shared" ca="1" si="1211"/>
        <v>1.3</v>
      </c>
      <c r="BU224" s="117">
        <f t="shared" ca="1" si="1211"/>
        <v>1.3</v>
      </c>
      <c r="BV224" s="278">
        <f t="shared" ca="1" si="1211"/>
        <v>1.3</v>
      </c>
      <c r="BW224" s="280">
        <f t="shared" si="1076"/>
        <v>15</v>
      </c>
      <c r="BX224" s="118">
        <f>IF($AN224="Ya",100%,100%+extraDelayZ)</f>
        <v>1</v>
      </c>
      <c r="BY224" s="263">
        <f t="shared" si="1264"/>
        <v>1</v>
      </c>
      <c r="BZ224" s="264">
        <f t="shared" si="1265"/>
        <v>1</v>
      </c>
      <c r="CA224" s="264">
        <f t="shared" si="1266"/>
        <v>1</v>
      </c>
      <c r="CB224" s="264">
        <f t="shared" si="1267"/>
        <v>1</v>
      </c>
      <c r="CC224" s="264">
        <f t="shared" si="1268"/>
        <v>1</v>
      </c>
      <c r="CD224" s="264">
        <f t="shared" si="1269"/>
        <v>1</v>
      </c>
      <c r="CE224" s="264">
        <f t="shared" si="1270"/>
        <v>1</v>
      </c>
      <c r="CF224" s="264">
        <f t="shared" si="1271"/>
        <v>1</v>
      </c>
      <c r="CG224" s="264">
        <f t="shared" si="1272"/>
        <v>1</v>
      </c>
      <c r="CH224" s="264">
        <f t="shared" si="1273"/>
        <v>1</v>
      </c>
      <c r="CI224" s="264">
        <f t="shared" si="1274"/>
        <v>1</v>
      </c>
      <c r="CJ224" s="265">
        <f t="shared" si="1275"/>
        <v>1</v>
      </c>
      <c r="CK224" s="269">
        <f t="array" ref="CK224">IF(ISERROR(SUM($K224:$V224*$BY224:$CJ224)/SUM($K224:$V224)),1,SUM($K224:$V224*$BY224:$CJ224)/SUM($K224:$V224))-1</f>
        <v>0</v>
      </c>
      <c r="CL224" s="234"/>
    </row>
    <row r="225" spans="1:90" ht="12.75" hidden="1" outlineLevel="1" x14ac:dyDescent="0.2">
      <c r="B225" s="404" t="str">
        <f t="shared" ca="1" si="1191"/>
        <v>Все страницы Блогов, 240х400, Пакет "Мужчины"</v>
      </c>
      <c r="C225" s="649" t="str">
        <f t="shared" ca="1" si="1192"/>
        <v>Пакет</v>
      </c>
      <c r="D225" s="405">
        <f t="shared" ca="1" si="1193"/>
        <v>80</v>
      </c>
      <c r="E225" s="405">
        <f t="shared" ca="1" si="1194"/>
        <v>80</v>
      </c>
      <c r="F225" s="405">
        <f t="shared" ca="1" si="1195"/>
        <v>80</v>
      </c>
      <c r="G225" s="406">
        <f t="shared" ca="1" si="1196"/>
        <v>160000</v>
      </c>
      <c r="H225" s="406">
        <f t="shared" ca="1" si="1197"/>
        <v>160000</v>
      </c>
      <c r="I225" s="406">
        <f t="shared" ca="1" si="1198"/>
        <v>0</v>
      </c>
      <c r="J225" s="407">
        <f t="shared" ca="1" si="1199"/>
        <v>0</v>
      </c>
      <c r="K225" s="408"/>
      <c r="L225" s="409"/>
      <c r="M225" s="409"/>
      <c r="N225" s="409"/>
      <c r="O225" s="409"/>
      <c r="P225" s="409"/>
      <c r="Q225" s="409"/>
      <c r="R225" s="409"/>
      <c r="S225" s="409"/>
      <c r="T225" s="409"/>
      <c r="U225" s="409"/>
      <c r="V225" s="410"/>
      <c r="W225" s="406">
        <f t="shared" ca="1" si="1060"/>
        <v>0</v>
      </c>
      <c r="X225" s="406"/>
      <c r="Y225" s="411"/>
      <c r="Z225" s="412">
        <f t="shared" si="1200"/>
        <v>0</v>
      </c>
      <c r="AA225" s="413"/>
      <c r="AB225" s="413"/>
      <c r="AC225" s="413"/>
      <c r="AD225" s="413"/>
      <c r="AE225" s="413"/>
      <c r="AF225" s="413"/>
      <c r="AG225" s="413"/>
      <c r="AH225" s="413"/>
      <c r="AI225" s="413"/>
      <c r="AJ225" s="413"/>
      <c r="AK225" s="413"/>
      <c r="AL225" s="413"/>
      <c r="AM225" s="572"/>
      <c r="AN225" s="351" t="s">
        <v>133</v>
      </c>
      <c r="AO225" s="351" t="str">
        <f t="shared" si="1074"/>
        <v>Liveinternet.ru</v>
      </c>
      <c r="AP225" s="115">
        <f t="shared" si="1156"/>
        <v>17</v>
      </c>
      <c r="AQ225" s="31" t="str">
        <f t="shared" ca="1" si="1201"/>
        <v>-</v>
      </c>
      <c r="AR225" s="31" t="str">
        <f t="shared" ca="1" si="1201"/>
        <v>-</v>
      </c>
      <c r="AS225" s="35">
        <v>0</v>
      </c>
      <c r="AT225" s="229">
        <v>0</v>
      </c>
      <c r="AU225" s="344">
        <f t="shared" ca="1" si="1202"/>
        <v>80</v>
      </c>
      <c r="AV225" s="345">
        <f t="shared" ca="1" si="1203"/>
        <v>80</v>
      </c>
      <c r="AW225" s="346">
        <f t="shared" ca="1" si="1204"/>
        <v>80</v>
      </c>
      <c r="AX225" s="280"/>
      <c r="AY225" s="280"/>
      <c r="AZ225" s="347">
        <f t="shared" ca="1" si="1205"/>
        <v>160000</v>
      </c>
      <c r="BA225" s="348">
        <f t="shared" ca="1" si="1206"/>
        <v>160000</v>
      </c>
      <c r="BB225" s="347">
        <f t="shared" ca="1" si="1207"/>
        <v>2000</v>
      </c>
      <c r="BC225" s="37" t="str">
        <f t="shared" ca="1" si="1207"/>
        <v>Пакет</v>
      </c>
      <c r="BD225" s="229" t="str">
        <f t="shared" ca="1" si="1208"/>
        <v>Пакет</v>
      </c>
      <c r="BE225" s="283">
        <f t="shared" ca="1" si="1075"/>
        <v>0</v>
      </c>
      <c r="BF225" s="347">
        <f t="array" aca="1" ref="BF225" ca="1">SUM($K225:$V225*$BK225:$BV225)*$AZ225</f>
        <v>0</v>
      </c>
      <c r="BG225" s="347">
        <f t="array" aca="1" ref="BG225" ca="1">SUM($K225:$V225*$BY225:$CJ225*$BK225:$BV225)*$AZ225*$BX225</f>
        <v>0</v>
      </c>
      <c r="BH225" s="347">
        <f t="array" aca="1" ref="BH225" ca="1">SUM($K225:$V225*$BY225:$CJ225*$BK225:$BV225)*(1-$BE225)*$AZ225*$BX225</f>
        <v>0</v>
      </c>
      <c r="BI225" s="350">
        <f t="shared" ca="1" si="1209"/>
        <v>0</v>
      </c>
      <c r="BJ225" s="275" t="str">
        <f t="shared" ca="1" si="1210"/>
        <v>Да</v>
      </c>
      <c r="BK225" s="116">
        <f t="shared" ca="1" si="1211"/>
        <v>0.8</v>
      </c>
      <c r="BL225" s="117">
        <f t="shared" ca="1" si="1211"/>
        <v>0.9</v>
      </c>
      <c r="BM225" s="117">
        <f t="shared" ca="1" si="1211"/>
        <v>1</v>
      </c>
      <c r="BN225" s="117">
        <f t="shared" ca="1" si="1211"/>
        <v>1</v>
      </c>
      <c r="BO225" s="117">
        <f t="shared" ca="1" si="1211"/>
        <v>1</v>
      </c>
      <c r="BP225" s="117">
        <f t="shared" ca="1" si="1211"/>
        <v>1</v>
      </c>
      <c r="BQ225" s="117">
        <f t="shared" ca="1" si="1211"/>
        <v>0.9</v>
      </c>
      <c r="BR225" s="117">
        <f t="shared" ca="1" si="1211"/>
        <v>0.9</v>
      </c>
      <c r="BS225" s="117">
        <f t="shared" ca="1" si="1211"/>
        <v>1.3</v>
      </c>
      <c r="BT225" s="117">
        <f t="shared" ca="1" si="1211"/>
        <v>1.3</v>
      </c>
      <c r="BU225" s="117">
        <f t="shared" ca="1" si="1211"/>
        <v>1.3</v>
      </c>
      <c r="BV225" s="278">
        <f t="shared" ca="1" si="1211"/>
        <v>1.3</v>
      </c>
      <c r="BW225" s="280">
        <f t="shared" si="1076"/>
        <v>16</v>
      </c>
      <c r="BX225" s="118">
        <f>IF($AN225="Ya",100%,100%+extraDelayZ)</f>
        <v>1</v>
      </c>
      <c r="BY225" s="263">
        <f t="shared" si="1212"/>
        <v>1</v>
      </c>
      <c r="BZ225" s="264">
        <f t="shared" si="1213"/>
        <v>1</v>
      </c>
      <c r="CA225" s="264">
        <f t="shared" si="1214"/>
        <v>1</v>
      </c>
      <c r="CB225" s="264">
        <f t="shared" si="1215"/>
        <v>1</v>
      </c>
      <c r="CC225" s="264">
        <f t="shared" si="1216"/>
        <v>1</v>
      </c>
      <c r="CD225" s="264">
        <f t="shared" si="1217"/>
        <v>1</v>
      </c>
      <c r="CE225" s="264">
        <f t="shared" si="1218"/>
        <v>1</v>
      </c>
      <c r="CF225" s="264">
        <f t="shared" si="1219"/>
        <v>1</v>
      </c>
      <c r="CG225" s="264">
        <f t="shared" si="1220"/>
        <v>1</v>
      </c>
      <c r="CH225" s="264">
        <f t="shared" si="1221"/>
        <v>1</v>
      </c>
      <c r="CI225" s="264">
        <f t="shared" si="1222"/>
        <v>1</v>
      </c>
      <c r="CJ225" s="265">
        <f t="shared" si="1223"/>
        <v>1</v>
      </c>
      <c r="CK225" s="269">
        <f t="array" ref="CK225">IF(ISERROR(SUM($K225:$V225*$BY225:$CJ225)/SUM($K225:$V225)),1,SUM($K225:$V225*$BY225:$CJ225)/SUM($K225:$V225))-1</f>
        <v>0</v>
      </c>
      <c r="CL225" s="234"/>
    </row>
    <row r="226" spans="1:90" ht="12.75" hidden="1" outlineLevel="1" x14ac:dyDescent="0.2">
      <c r="B226" s="414" t="str">
        <f t="shared" ca="1" si="1191"/>
        <v>Все страницы Блогов, 240х400, Пакет "Молодёжь 18-24"</v>
      </c>
      <c r="C226" s="649" t="str">
        <f t="shared" ca="1" si="1192"/>
        <v>Пакет</v>
      </c>
      <c r="D226" s="415">
        <f t="shared" ca="1" si="1193"/>
        <v>80</v>
      </c>
      <c r="E226" s="415">
        <f t="shared" ca="1" si="1194"/>
        <v>80</v>
      </c>
      <c r="F226" s="415">
        <f t="shared" ca="1" si="1195"/>
        <v>80</v>
      </c>
      <c r="G226" s="416">
        <f t="shared" ca="1" si="1196"/>
        <v>160000</v>
      </c>
      <c r="H226" s="416">
        <f t="shared" ca="1" si="1197"/>
        <v>160000</v>
      </c>
      <c r="I226" s="406">
        <f t="shared" ca="1" si="1198"/>
        <v>0</v>
      </c>
      <c r="J226" s="407">
        <f t="shared" ca="1" si="1199"/>
        <v>0</v>
      </c>
      <c r="K226" s="417"/>
      <c r="L226" s="418"/>
      <c r="M226" s="418"/>
      <c r="N226" s="418"/>
      <c r="O226" s="418"/>
      <c r="P226" s="418"/>
      <c r="Q226" s="418"/>
      <c r="R226" s="418"/>
      <c r="S226" s="418"/>
      <c r="T226" s="418"/>
      <c r="U226" s="418"/>
      <c r="V226" s="419"/>
      <c r="W226" s="416">
        <f t="shared" ca="1" si="1060"/>
        <v>0</v>
      </c>
      <c r="X226" s="416"/>
      <c r="Y226" s="420"/>
      <c r="Z226" s="412">
        <f t="shared" si="1200"/>
        <v>0</v>
      </c>
      <c r="AA226" s="421"/>
      <c r="AB226" s="421"/>
      <c r="AC226" s="421"/>
      <c r="AD226" s="421"/>
      <c r="AE226" s="421"/>
      <c r="AF226" s="421"/>
      <c r="AG226" s="421"/>
      <c r="AH226" s="421"/>
      <c r="AI226" s="421"/>
      <c r="AJ226" s="421"/>
      <c r="AK226" s="421"/>
      <c r="AL226" s="421"/>
      <c r="AM226" s="573"/>
      <c r="AN226" s="351" t="s">
        <v>133</v>
      </c>
      <c r="AO226" s="351" t="str">
        <f t="shared" si="1074"/>
        <v>Liveinternet.ru</v>
      </c>
      <c r="AP226" s="115">
        <f t="shared" si="1156"/>
        <v>17</v>
      </c>
      <c r="AQ226" s="31" t="str">
        <f t="shared" ca="1" si="1201"/>
        <v>-</v>
      </c>
      <c r="AR226" s="31" t="str">
        <f t="shared" ca="1" si="1201"/>
        <v>-</v>
      </c>
      <c r="AS226" s="35">
        <v>0</v>
      </c>
      <c r="AT226" s="229">
        <v>0</v>
      </c>
      <c r="AU226" s="344">
        <f t="shared" ca="1" si="1202"/>
        <v>80</v>
      </c>
      <c r="AV226" s="345">
        <f t="shared" ca="1" si="1203"/>
        <v>80</v>
      </c>
      <c r="AW226" s="346">
        <f t="shared" ca="1" si="1204"/>
        <v>80</v>
      </c>
      <c r="AX226" s="280"/>
      <c r="AY226" s="280"/>
      <c r="AZ226" s="347">
        <f t="shared" ca="1" si="1205"/>
        <v>160000</v>
      </c>
      <c r="BA226" s="348">
        <f t="shared" ca="1" si="1206"/>
        <v>160000</v>
      </c>
      <c r="BB226" s="347">
        <f t="shared" ca="1" si="1207"/>
        <v>2000</v>
      </c>
      <c r="BC226" s="37" t="str">
        <f t="shared" ca="1" si="1207"/>
        <v>Пакет</v>
      </c>
      <c r="BD226" s="229" t="str">
        <f t="shared" ca="1" si="1208"/>
        <v>Пакет</v>
      </c>
      <c r="BE226" s="283">
        <f t="shared" ca="1" si="1075"/>
        <v>0</v>
      </c>
      <c r="BF226" s="347">
        <f t="array" aca="1" ref="BF226" ca="1">SUM($K226:$V226*$BK226:$BV226)*$AZ226</f>
        <v>0</v>
      </c>
      <c r="BG226" s="347">
        <f t="array" aca="1" ref="BG226" ca="1">SUM($K226:$V226*$BY226:$CJ226*$BK226:$BV226)*$AZ226*$BX226</f>
        <v>0</v>
      </c>
      <c r="BH226" s="347">
        <f t="array" aca="1" ref="BH226" ca="1">SUM($K226:$V226*$BY226:$CJ226*$BK226:$BV226)*(1-$BE226)*$AZ226*$BX226</f>
        <v>0</v>
      </c>
      <c r="BI226" s="350">
        <f t="shared" ca="1" si="1209"/>
        <v>0</v>
      </c>
      <c r="BJ226" s="275" t="str">
        <f t="shared" ca="1" si="1210"/>
        <v>Да</v>
      </c>
      <c r="BK226" s="116">
        <f t="shared" ca="1" si="1211"/>
        <v>0.8</v>
      </c>
      <c r="BL226" s="117">
        <f t="shared" ca="1" si="1211"/>
        <v>0.9</v>
      </c>
      <c r="BM226" s="117">
        <f t="shared" ca="1" si="1211"/>
        <v>1</v>
      </c>
      <c r="BN226" s="117">
        <f t="shared" ca="1" si="1211"/>
        <v>1</v>
      </c>
      <c r="BO226" s="117">
        <f t="shared" ca="1" si="1211"/>
        <v>1</v>
      </c>
      <c r="BP226" s="117">
        <f t="shared" ca="1" si="1211"/>
        <v>1</v>
      </c>
      <c r="BQ226" s="117">
        <f t="shared" ca="1" si="1211"/>
        <v>0.9</v>
      </c>
      <c r="BR226" s="117">
        <f t="shared" ca="1" si="1211"/>
        <v>0.9</v>
      </c>
      <c r="BS226" s="117">
        <f t="shared" ca="1" si="1211"/>
        <v>1.3</v>
      </c>
      <c r="BT226" s="117">
        <f t="shared" ca="1" si="1211"/>
        <v>1.3</v>
      </c>
      <c r="BU226" s="117">
        <f t="shared" ca="1" si="1211"/>
        <v>1.3</v>
      </c>
      <c r="BV226" s="278">
        <f t="shared" ca="1" si="1211"/>
        <v>1.3</v>
      </c>
      <c r="BW226" s="280">
        <f t="shared" si="1076"/>
        <v>17</v>
      </c>
      <c r="BX226" s="118">
        <f>IF($AN226="Ya",100%,100%+extraDelayZ)</f>
        <v>1</v>
      </c>
      <c r="BY226" s="263">
        <f t="shared" si="1212"/>
        <v>1</v>
      </c>
      <c r="BZ226" s="264">
        <f t="shared" si="1213"/>
        <v>1</v>
      </c>
      <c r="CA226" s="264">
        <f t="shared" si="1214"/>
        <v>1</v>
      </c>
      <c r="CB226" s="264">
        <f t="shared" si="1215"/>
        <v>1</v>
      </c>
      <c r="CC226" s="264">
        <f t="shared" si="1216"/>
        <v>1</v>
      </c>
      <c r="CD226" s="264">
        <f t="shared" si="1217"/>
        <v>1</v>
      </c>
      <c r="CE226" s="264">
        <f t="shared" si="1218"/>
        <v>1</v>
      </c>
      <c r="CF226" s="264">
        <f t="shared" si="1219"/>
        <v>1</v>
      </c>
      <c r="CG226" s="264">
        <f t="shared" si="1220"/>
        <v>1</v>
      </c>
      <c r="CH226" s="264">
        <f t="shared" si="1221"/>
        <v>1</v>
      </c>
      <c r="CI226" s="264">
        <f t="shared" si="1222"/>
        <v>1</v>
      </c>
      <c r="CJ226" s="265">
        <f t="shared" si="1223"/>
        <v>1</v>
      </c>
      <c r="CK226" s="269">
        <f t="array" ref="CK226">IF(ISERROR(SUM($K226:$V226*$BY226:$CJ226)/SUM($K226:$V226)),1,SUM($K226:$V226*$BY226:$CJ226)/SUM($K226:$V226))-1</f>
        <v>0</v>
      </c>
      <c r="CL226" s="234"/>
    </row>
    <row r="227" spans="1:90" ht="15" collapsed="1" x14ac:dyDescent="0.2">
      <c r="A227" s="391"/>
      <c r="B227" s="392" t="str">
        <f>CONCATENATE($AO227,IF($AX227&gt;0,CONCATENATE("  (план ",TEXT(INDEX(indBudX,MATCH($AN227,indPrefixX,0)),"# ##0")," руб.)"),""))</f>
        <v>Sports.ru</v>
      </c>
      <c r="C227" s="650" t="s">
        <v>363</v>
      </c>
      <c r="D227" s="393"/>
      <c r="E227" s="394"/>
      <c r="F227" s="394"/>
      <c r="G227" s="395"/>
      <c r="H227" s="395"/>
      <c r="I227" s="395">
        <f t="shared" ref="I227" ca="1" si="1276">$BG227</f>
        <v>0</v>
      </c>
      <c r="J227" s="396">
        <f ca="1">$BH227</f>
        <v>0</v>
      </c>
      <c r="K227" s="397"/>
      <c r="L227" s="398"/>
      <c r="M227" s="398"/>
      <c r="N227" s="398"/>
      <c r="O227" s="398"/>
      <c r="P227" s="398"/>
      <c r="Q227" s="398"/>
      <c r="R227" s="398"/>
      <c r="S227" s="398"/>
      <c r="T227" s="398"/>
      <c r="U227" s="398"/>
      <c r="V227" s="399"/>
      <c r="W227" s="395">
        <f t="shared" ca="1" si="1060"/>
        <v>0</v>
      </c>
      <c r="X227" s="576"/>
      <c r="Y227" s="400">
        <f ca="1">$BE227</f>
        <v>0</v>
      </c>
      <c r="Z227" s="401"/>
      <c r="AA227" s="402"/>
      <c r="AB227" s="402"/>
      <c r="AC227" s="402"/>
      <c r="AD227" s="402"/>
      <c r="AE227" s="402"/>
      <c r="AF227" s="402"/>
      <c r="AG227" s="402"/>
      <c r="AH227" s="402"/>
      <c r="AI227" s="402"/>
      <c r="AJ227" s="402"/>
      <c r="AK227" s="402"/>
      <c r="AL227" s="402"/>
      <c r="AM227" s="403"/>
      <c r="AN227" s="130" t="s">
        <v>149</v>
      </c>
      <c r="AO227" s="130" t="str">
        <f t="shared" si="1074"/>
        <v>Sports.ru</v>
      </c>
      <c r="AP227" s="119">
        <f t="shared" si="1156"/>
        <v>17</v>
      </c>
      <c r="AQ227" s="120"/>
      <c r="AR227" s="120"/>
      <c r="AS227" s="121"/>
      <c r="AT227" s="228"/>
      <c r="AU227" s="232"/>
      <c r="AV227" s="179"/>
      <c r="AW227" s="233"/>
      <c r="AX227" s="279">
        <f>IF(ISERROR(INDEX(indBudX,MATCH($AN227,indPrefixX,0))),0,INDEX(indBudX,MATCH($AN227,indPrefixX,0)))</f>
        <v>0</v>
      </c>
      <c r="AY227" s="279">
        <f>IF(ISNUMBER($X227),$X227,0)</f>
        <v>0</v>
      </c>
      <c r="AZ227" s="123"/>
      <c r="BA227" s="125"/>
      <c r="BB227" s="123"/>
      <c r="BC227" s="124"/>
      <c r="BD227" s="464"/>
      <c r="BE227" s="282">
        <f t="shared" ca="1" si="1075"/>
        <v>0</v>
      </c>
      <c r="BF227" s="123">
        <f t="shared" ref="BF227:BI227" ca="1" si="1277">SUM(OFFSET(BF227,1,0,$AP227-1,1))</f>
        <v>0</v>
      </c>
      <c r="BG227" s="123">
        <f t="shared" ca="1" si="1277"/>
        <v>0</v>
      </c>
      <c r="BH227" s="123">
        <f t="shared" ca="1" si="1277"/>
        <v>0</v>
      </c>
      <c r="BI227" s="273">
        <f t="shared" ca="1" si="1277"/>
        <v>0</v>
      </c>
      <c r="BJ227" s="274"/>
      <c r="BK227" s="126"/>
      <c r="BL227" s="127"/>
      <c r="BM227" s="127"/>
      <c r="BN227" s="127"/>
      <c r="BO227" s="127"/>
      <c r="BP227" s="127"/>
      <c r="BQ227" s="127"/>
      <c r="BR227" s="127"/>
      <c r="BS227" s="127"/>
      <c r="BT227" s="127"/>
      <c r="BU227" s="127"/>
      <c r="BV227" s="277"/>
      <c r="BW227" s="279">
        <f t="shared" si="1076"/>
        <v>1</v>
      </c>
      <c r="BX227" s="128"/>
      <c r="BY227" s="260"/>
      <c r="BZ227" s="261"/>
      <c r="CA227" s="261"/>
      <c r="CB227" s="261"/>
      <c r="CC227" s="261"/>
      <c r="CD227" s="261"/>
      <c r="CE227" s="261"/>
      <c r="CF227" s="261"/>
      <c r="CG227" s="261"/>
      <c r="CH227" s="261"/>
      <c r="CI227" s="261"/>
      <c r="CJ227" s="262"/>
      <c r="CK227" s="270"/>
      <c r="CL227" s="234"/>
    </row>
    <row r="228" spans="1:90" ht="12.75" hidden="1" outlineLevel="1" x14ac:dyDescent="0.2">
      <c r="B228" s="404" t="str">
        <f t="shared" ref="B228:B243" ca="1" si="1278">INDEX(INDIRECT(LOWER($AN228)&amp;"Price"),$BW228,2)</f>
        <v>Пакет "Охват 2000К", 780x90 или 990x90</v>
      </c>
      <c r="C228" s="676" t="str">
        <f t="shared" ref="C228:C243" ca="1" si="1279">$BD228</f>
        <v>Пакет</v>
      </c>
      <c r="D228" s="405">
        <f t="shared" ref="D228:D243" ca="1" si="1280">$AU228</f>
        <v>150</v>
      </c>
      <c r="E228" s="405">
        <f t="shared" ref="E228:E243" ca="1" si="1281">$AV228</f>
        <v>150</v>
      </c>
      <c r="F228" s="405">
        <f t="shared" ref="F228:F243" ca="1" si="1282">$AW228</f>
        <v>150</v>
      </c>
      <c r="G228" s="406">
        <f t="shared" ref="G228:G243" ca="1" si="1283">$AZ228</f>
        <v>300000</v>
      </c>
      <c r="H228" s="406">
        <f t="shared" ref="H228:H243" ca="1" si="1284">$BA228</f>
        <v>300000</v>
      </c>
      <c r="I228" s="406">
        <f t="shared" ref="I228:I244" ca="1" si="1285">$BG228</f>
        <v>0</v>
      </c>
      <c r="J228" s="407">
        <f t="shared" ref="J228:J243" ca="1" si="1286">$BH228</f>
        <v>0</v>
      </c>
      <c r="K228" s="408"/>
      <c r="L228" s="409"/>
      <c r="M228" s="409"/>
      <c r="N228" s="409"/>
      <c r="O228" s="409"/>
      <c r="P228" s="409"/>
      <c r="Q228" s="409"/>
      <c r="R228" s="409"/>
      <c r="S228" s="409"/>
      <c r="T228" s="409"/>
      <c r="U228" s="409"/>
      <c r="V228" s="410"/>
      <c r="W228" s="406">
        <f t="shared" ca="1" si="1060"/>
        <v>0</v>
      </c>
      <c r="X228" s="406"/>
      <c r="Y228" s="411"/>
      <c r="Z228" s="412">
        <f t="shared" ref="Z228:Z243" si="1287">CK228</f>
        <v>0</v>
      </c>
      <c r="AA228" s="413"/>
      <c r="AB228" s="413"/>
      <c r="AC228" s="413"/>
      <c r="AD228" s="413"/>
      <c r="AE228" s="413"/>
      <c r="AF228" s="413"/>
      <c r="AG228" s="413"/>
      <c r="AH228" s="413"/>
      <c r="AI228" s="413"/>
      <c r="AJ228" s="413"/>
      <c r="AK228" s="413"/>
      <c r="AL228" s="413"/>
      <c r="AM228" s="572"/>
      <c r="AN228" s="351" t="s">
        <v>149</v>
      </c>
      <c r="AO228" s="351" t="str">
        <f t="shared" si="1074"/>
        <v>Sports.ru</v>
      </c>
      <c r="AP228" s="115">
        <f t="shared" si="1156"/>
        <v>17</v>
      </c>
      <c r="AQ228" s="31" t="str">
        <f t="shared" ref="AQ228:AR243" ca="1" si="1288">HLOOKUP(AQ$10,INDIRECT(LOWER($AN228)&amp;"Price"),$BW228,FALSE)</f>
        <v>См.уточнения</v>
      </c>
      <c r="AR228" s="31" t="str">
        <f t="shared" ca="1" si="1288"/>
        <v>См. уточнения</v>
      </c>
      <c r="AS228" s="35">
        <v>0</v>
      </c>
      <c r="AT228" s="229">
        <v>0</v>
      </c>
      <c r="AU228" s="344">
        <f t="shared" ref="AU228:AU243" ca="1" si="1289">HLOOKUP(AU$10,INDIRECT(LOWER($AN228)&amp;"Price"),$BW228,FALSE)</f>
        <v>150</v>
      </c>
      <c r="AV228" s="345">
        <f t="shared" ref="AV228:AV243" ca="1" si="1290">IF(ISERROR($BG228/$BI228),$AU228,$BG228/$BI228)</f>
        <v>150</v>
      </c>
      <c r="AW228" s="346">
        <f t="shared" ref="AW228:AW243" ca="1" si="1291">$AV228*(1-$BE228)</f>
        <v>150</v>
      </c>
      <c r="AX228" s="280"/>
      <c r="AY228" s="280"/>
      <c r="AZ228" s="347">
        <f t="shared" ref="AZ228:AZ243" ca="1" si="1292">HLOOKUP(AZ$10,INDIRECT(LOWER($AN228)&amp;"Price"),$BW228,FALSE)</f>
        <v>300000</v>
      </c>
      <c r="BA228" s="348">
        <f t="shared" ref="BA228:BA243" ca="1" si="1293">$AZ228*(1-$BE228)</f>
        <v>300000</v>
      </c>
      <c r="BB228" s="347">
        <f t="shared" ref="BB228:BC243" ca="1" si="1294">HLOOKUP(BB$10,INDIRECT(LOWER($AN228)&amp;"Price"),$BW228,FALSE)</f>
        <v>2000</v>
      </c>
      <c r="BC228" s="37" t="str">
        <f t="shared" ca="1" si="1294"/>
        <v>Пакет</v>
      </c>
      <c r="BD228" s="229" t="str">
        <f t="shared" ref="BD228:BD243" ca="1" si="1295">IF(ISERROR(VLOOKUP($BC228,typeIndexPair,2,FALSE)),"",VLOOKUP($BC228,typeIndexPair,2,FALSE))</f>
        <v>Пакет</v>
      </c>
      <c r="BE228" s="283">
        <f t="shared" ca="1" si="1075"/>
        <v>0</v>
      </c>
      <c r="BF228" s="347">
        <f t="array" aca="1" ref="BF228" ca="1">SUM($K228:$V228*$BK228:$BV228)*$AZ228</f>
        <v>0</v>
      </c>
      <c r="BG228" s="347">
        <f t="array" aca="1" ref="BG228" ca="1">SUM($K228:$V228*$BY228:$CJ228*$BK228:$BV228)*$AZ228*$BX228</f>
        <v>0</v>
      </c>
      <c r="BH228" s="347">
        <f t="array" aca="1" ref="BH228" ca="1">SUM($K228:$V228*$BY228:$CJ228*$BK228:$BV228)*(1-$BE228)*$AZ228*$BX228</f>
        <v>0</v>
      </c>
      <c r="BI228" s="350">
        <f t="shared" ref="BI228:BI243" ca="1" si="1296">SUM($K228:$V228)*$BB228</f>
        <v>0</v>
      </c>
      <c r="BJ228" s="275" t="str">
        <f t="shared" ref="BJ228:BJ243" ca="1" si="1297">IF(ISERROR(HLOOKUP(BJ$10,INDIRECT(LOWER($AN228)&amp;"Price"),$BW228,FALSE)),"Да",HLOOKUP(BJ$10,INDIRECT(LOWER($AN228)&amp;"Price"),$BW228,FALSE))</f>
        <v>Да</v>
      </c>
      <c r="BK228" s="116">
        <f t="shared" ref="BK228:BV243" ca="1" si="1298">IF($BJ228="Особ.",INDEX(INDIRECT(LOWER($AN228)&amp;"Season2"),BK$9),IF($BJ228="Да",INDEX(INDIRECT(LOWER($AN228)&amp;"Season"),BK$9),100%))</f>
        <v>0.8</v>
      </c>
      <c r="BL228" s="117">
        <f t="shared" ca="1" si="1298"/>
        <v>0.9</v>
      </c>
      <c r="BM228" s="117">
        <f t="shared" ca="1" si="1298"/>
        <v>1</v>
      </c>
      <c r="BN228" s="117">
        <f t="shared" ca="1" si="1298"/>
        <v>1</v>
      </c>
      <c r="BO228" s="117">
        <f t="shared" ca="1" si="1298"/>
        <v>1</v>
      </c>
      <c r="BP228" s="117">
        <f t="shared" ca="1" si="1298"/>
        <v>1</v>
      </c>
      <c r="BQ228" s="117">
        <f t="shared" ca="1" si="1298"/>
        <v>0.9</v>
      </c>
      <c r="BR228" s="117">
        <f t="shared" ca="1" si="1298"/>
        <v>0.9</v>
      </c>
      <c r="BS228" s="117">
        <f t="shared" ca="1" si="1298"/>
        <v>1.3</v>
      </c>
      <c r="BT228" s="117">
        <f t="shared" ca="1" si="1298"/>
        <v>1.3</v>
      </c>
      <c r="BU228" s="117">
        <f t="shared" ca="1" si="1298"/>
        <v>1.3</v>
      </c>
      <c r="BV228" s="278">
        <f t="shared" ca="1" si="1298"/>
        <v>1.3</v>
      </c>
      <c r="BW228" s="280">
        <f t="shared" si="1076"/>
        <v>2</v>
      </c>
      <c r="BX228" s="118">
        <f>IF($AN228="Ya",100%,100%+extraDelayZ)</f>
        <v>1</v>
      </c>
      <c r="BY228" s="263">
        <f t="shared" ref="BY228:BY243" si="1299">(1+AA228)</f>
        <v>1</v>
      </c>
      <c r="BZ228" s="264">
        <f t="shared" ref="BZ228:BZ243" si="1300">(1+AB228)</f>
        <v>1</v>
      </c>
      <c r="CA228" s="264">
        <f t="shared" ref="CA228:CA243" si="1301">(1+AC228)</f>
        <v>1</v>
      </c>
      <c r="CB228" s="264">
        <f t="shared" ref="CB228:CB243" si="1302">(1+AD228)</f>
        <v>1</v>
      </c>
      <c r="CC228" s="264">
        <f t="shared" ref="CC228:CC243" si="1303">(1+AE228)</f>
        <v>1</v>
      </c>
      <c r="CD228" s="264">
        <f t="shared" ref="CD228:CD243" si="1304">(1+AF228)</f>
        <v>1</v>
      </c>
      <c r="CE228" s="264">
        <f t="shared" ref="CE228:CE243" si="1305">(1+AG228)</f>
        <v>1</v>
      </c>
      <c r="CF228" s="264">
        <f t="shared" ref="CF228:CF243" si="1306">(1+AH228)</f>
        <v>1</v>
      </c>
      <c r="CG228" s="264">
        <f t="shared" ref="CG228:CG243" si="1307">(1+AI228)</f>
        <v>1</v>
      </c>
      <c r="CH228" s="264">
        <f t="shared" ref="CH228:CH243" si="1308">(1+AJ228)</f>
        <v>1</v>
      </c>
      <c r="CI228" s="264">
        <f t="shared" ref="CI228:CI243" si="1309">(1+AK228)</f>
        <v>1</v>
      </c>
      <c r="CJ228" s="265">
        <f t="shared" ref="CJ228:CJ243" si="1310">(1+AL228)</f>
        <v>1</v>
      </c>
      <c r="CK228" s="269">
        <f t="array" ref="CK228">IF(ISERROR(SUM($K228:$V228*$BY228:$CJ228)/SUM($K228:$V228)),1,SUM($K228:$V228*$BY228:$CJ228)/SUM($K228:$V228))-1</f>
        <v>0</v>
      </c>
      <c r="CL228" s="234"/>
    </row>
    <row r="229" spans="1:90" ht="12.75" hidden="1" outlineLevel="1" x14ac:dyDescent="0.2">
      <c r="B229" s="404" t="str">
        <f t="shared" ca="1" si="1278"/>
        <v>Пакет "Охват 2000К", 240x400 или 300х500</v>
      </c>
      <c r="C229" s="676" t="str">
        <f t="shared" ca="1" si="1279"/>
        <v>Пакет</v>
      </c>
      <c r="D229" s="405">
        <f t="shared" ca="1" si="1280"/>
        <v>190</v>
      </c>
      <c r="E229" s="405">
        <f t="shared" ca="1" si="1281"/>
        <v>190</v>
      </c>
      <c r="F229" s="405">
        <f t="shared" ca="1" si="1282"/>
        <v>190</v>
      </c>
      <c r="G229" s="406">
        <f t="shared" ca="1" si="1283"/>
        <v>380000</v>
      </c>
      <c r="H229" s="406">
        <f t="shared" ca="1" si="1284"/>
        <v>380000</v>
      </c>
      <c r="I229" s="406">
        <f t="shared" ca="1" si="1285"/>
        <v>0</v>
      </c>
      <c r="J229" s="407">
        <f t="shared" ca="1" si="1286"/>
        <v>0</v>
      </c>
      <c r="K229" s="408"/>
      <c r="L229" s="409"/>
      <c r="M229" s="409"/>
      <c r="N229" s="409"/>
      <c r="O229" s="409"/>
      <c r="P229" s="409"/>
      <c r="Q229" s="409"/>
      <c r="R229" s="409"/>
      <c r="S229" s="409"/>
      <c r="T229" s="409"/>
      <c r="U229" s="409"/>
      <c r="V229" s="410"/>
      <c r="W229" s="406">
        <f t="shared" ca="1" si="1060"/>
        <v>0</v>
      </c>
      <c r="X229" s="406"/>
      <c r="Y229" s="411"/>
      <c r="Z229" s="412">
        <f t="shared" si="1287"/>
        <v>0</v>
      </c>
      <c r="AA229" s="413"/>
      <c r="AB229" s="413"/>
      <c r="AC229" s="413"/>
      <c r="AD229" s="413"/>
      <c r="AE229" s="413"/>
      <c r="AF229" s="413"/>
      <c r="AG229" s="413"/>
      <c r="AH229" s="413"/>
      <c r="AI229" s="413"/>
      <c r="AJ229" s="413"/>
      <c r="AK229" s="413"/>
      <c r="AL229" s="413"/>
      <c r="AM229" s="572"/>
      <c r="AN229" s="351" t="s">
        <v>149</v>
      </c>
      <c r="AO229" s="351" t="str">
        <f t="shared" si="1074"/>
        <v>Sports.ru</v>
      </c>
      <c r="AP229" s="115">
        <f t="shared" si="1156"/>
        <v>17</v>
      </c>
      <c r="AQ229" s="31" t="str">
        <f t="shared" ca="1" si="1288"/>
        <v>См.уточнения</v>
      </c>
      <c r="AR229" s="31" t="str">
        <f t="shared" ca="1" si="1288"/>
        <v>См. уточнения</v>
      </c>
      <c r="AS229" s="35">
        <v>0</v>
      </c>
      <c r="AT229" s="229">
        <v>0</v>
      </c>
      <c r="AU229" s="344">
        <f t="shared" ca="1" si="1289"/>
        <v>190</v>
      </c>
      <c r="AV229" s="345">
        <f t="shared" ca="1" si="1290"/>
        <v>190</v>
      </c>
      <c r="AW229" s="346">
        <f t="shared" ca="1" si="1291"/>
        <v>190</v>
      </c>
      <c r="AX229" s="280"/>
      <c r="AY229" s="280"/>
      <c r="AZ229" s="347">
        <f t="shared" ca="1" si="1292"/>
        <v>380000</v>
      </c>
      <c r="BA229" s="348">
        <f t="shared" ca="1" si="1293"/>
        <v>380000</v>
      </c>
      <c r="BB229" s="347">
        <f t="shared" ca="1" si="1294"/>
        <v>2000</v>
      </c>
      <c r="BC229" s="37" t="str">
        <f t="shared" ca="1" si="1294"/>
        <v>Пакет</v>
      </c>
      <c r="BD229" s="229" t="str">
        <f t="shared" ca="1" si="1295"/>
        <v>Пакет</v>
      </c>
      <c r="BE229" s="283">
        <f t="shared" ca="1" si="1075"/>
        <v>0</v>
      </c>
      <c r="BF229" s="347">
        <f t="array" aca="1" ref="BF229" ca="1">SUM($K229:$V229*$BK229:$BV229)*$AZ229</f>
        <v>0</v>
      </c>
      <c r="BG229" s="347">
        <f t="array" aca="1" ref="BG229" ca="1">SUM($K229:$V229*$BY229:$CJ229*$BK229:$BV229)*$AZ229*$BX229</f>
        <v>0</v>
      </c>
      <c r="BH229" s="347">
        <f t="array" aca="1" ref="BH229" ca="1">SUM($K229:$V229*$BY229:$CJ229*$BK229:$BV229)*(1-$BE229)*$AZ229*$BX229</f>
        <v>0</v>
      </c>
      <c r="BI229" s="350">
        <f t="shared" ca="1" si="1296"/>
        <v>0</v>
      </c>
      <c r="BJ229" s="275" t="str">
        <f t="shared" ca="1" si="1297"/>
        <v>Да</v>
      </c>
      <c r="BK229" s="116">
        <f t="shared" ca="1" si="1298"/>
        <v>0.8</v>
      </c>
      <c r="BL229" s="117">
        <f t="shared" ca="1" si="1298"/>
        <v>0.9</v>
      </c>
      <c r="BM229" s="117">
        <f t="shared" ca="1" si="1298"/>
        <v>1</v>
      </c>
      <c r="BN229" s="117">
        <f t="shared" ca="1" si="1298"/>
        <v>1</v>
      </c>
      <c r="BO229" s="117">
        <f t="shared" ca="1" si="1298"/>
        <v>1</v>
      </c>
      <c r="BP229" s="117">
        <f t="shared" ca="1" si="1298"/>
        <v>1</v>
      </c>
      <c r="BQ229" s="117">
        <f t="shared" ca="1" si="1298"/>
        <v>0.9</v>
      </c>
      <c r="BR229" s="117">
        <f t="shared" ca="1" si="1298"/>
        <v>0.9</v>
      </c>
      <c r="BS229" s="117">
        <f t="shared" ca="1" si="1298"/>
        <v>1.3</v>
      </c>
      <c r="BT229" s="117">
        <f t="shared" ca="1" si="1298"/>
        <v>1.3</v>
      </c>
      <c r="BU229" s="117">
        <f t="shared" ca="1" si="1298"/>
        <v>1.3</v>
      </c>
      <c r="BV229" s="278">
        <f t="shared" ca="1" si="1298"/>
        <v>1.3</v>
      </c>
      <c r="BW229" s="280">
        <f t="shared" si="1076"/>
        <v>3</v>
      </c>
      <c r="BX229" s="118">
        <f>IF($AN229="Ya",100%,100%+extraDelayZ)</f>
        <v>1</v>
      </c>
      <c r="BY229" s="263">
        <f t="shared" si="1299"/>
        <v>1</v>
      </c>
      <c r="BZ229" s="264">
        <f t="shared" si="1300"/>
        <v>1</v>
      </c>
      <c r="CA229" s="264">
        <f t="shared" si="1301"/>
        <v>1</v>
      </c>
      <c r="CB229" s="264">
        <f t="shared" si="1302"/>
        <v>1</v>
      </c>
      <c r="CC229" s="264">
        <f t="shared" si="1303"/>
        <v>1</v>
      </c>
      <c r="CD229" s="264">
        <f t="shared" si="1304"/>
        <v>1</v>
      </c>
      <c r="CE229" s="264">
        <f t="shared" si="1305"/>
        <v>1</v>
      </c>
      <c r="CF229" s="264">
        <f t="shared" si="1306"/>
        <v>1</v>
      </c>
      <c r="CG229" s="264">
        <f t="shared" si="1307"/>
        <v>1</v>
      </c>
      <c r="CH229" s="264">
        <f t="shared" si="1308"/>
        <v>1</v>
      </c>
      <c r="CI229" s="264">
        <f t="shared" si="1309"/>
        <v>1</v>
      </c>
      <c r="CJ229" s="265">
        <f t="shared" si="1310"/>
        <v>1</v>
      </c>
      <c r="CK229" s="269">
        <f t="array" ref="CK229">IF(ISERROR(SUM($K229:$V229*$BY229:$CJ229)/SUM($K229:$V229)),1,SUM($K229:$V229*$BY229:$CJ229)/SUM($K229:$V229))-1</f>
        <v>0</v>
      </c>
      <c r="CL229" s="234"/>
    </row>
    <row r="230" spans="1:90" ht="12.75" hidden="1" outlineLevel="1" x14ac:dyDescent="0.2">
      <c r="B230" s="404" t="str">
        <f t="shared" ca="1" si="1278"/>
        <v>Динамика, заказ от 2,1 до 4,9М, 780х90 или 990х90</v>
      </c>
      <c r="C230" s="676" t="str">
        <f t="shared" ca="1" si="1279"/>
        <v>х1000</v>
      </c>
      <c r="D230" s="405">
        <f t="shared" ca="1" si="1280"/>
        <v>150</v>
      </c>
      <c r="E230" s="405">
        <f t="shared" ca="1" si="1281"/>
        <v>150</v>
      </c>
      <c r="F230" s="405">
        <f t="shared" ca="1" si="1282"/>
        <v>150</v>
      </c>
      <c r="G230" s="406">
        <f t="shared" ca="1" si="1283"/>
        <v>150</v>
      </c>
      <c r="H230" s="406">
        <f t="shared" ca="1" si="1284"/>
        <v>150</v>
      </c>
      <c r="I230" s="406">
        <f t="shared" ca="1" si="1285"/>
        <v>0</v>
      </c>
      <c r="J230" s="407">
        <f t="shared" ca="1" si="1286"/>
        <v>0</v>
      </c>
      <c r="K230" s="408"/>
      <c r="L230" s="409"/>
      <c r="M230" s="409"/>
      <c r="N230" s="409"/>
      <c r="O230" s="409"/>
      <c r="P230" s="409"/>
      <c r="Q230" s="409"/>
      <c r="R230" s="409"/>
      <c r="S230" s="409"/>
      <c r="T230" s="409"/>
      <c r="U230" s="409"/>
      <c r="V230" s="410"/>
      <c r="W230" s="406">
        <f t="shared" ca="1" si="1060"/>
        <v>0</v>
      </c>
      <c r="X230" s="406"/>
      <c r="Y230" s="411"/>
      <c r="Z230" s="412">
        <f t="shared" si="1287"/>
        <v>0</v>
      </c>
      <c r="AA230" s="413"/>
      <c r="AB230" s="413"/>
      <c r="AC230" s="413"/>
      <c r="AD230" s="413"/>
      <c r="AE230" s="413"/>
      <c r="AF230" s="413"/>
      <c r="AG230" s="413"/>
      <c r="AH230" s="413"/>
      <c r="AI230" s="413"/>
      <c r="AJ230" s="413"/>
      <c r="AK230" s="413"/>
      <c r="AL230" s="413"/>
      <c r="AM230" s="572"/>
      <c r="AN230" s="351" t="s">
        <v>149</v>
      </c>
      <c r="AO230" s="351" t="str">
        <f t="shared" si="1074"/>
        <v>Sports.ru</v>
      </c>
      <c r="AP230" s="115">
        <f t="shared" si="1156"/>
        <v>17</v>
      </c>
      <c r="AQ230" s="31" t="str">
        <f t="shared" ca="1" si="1288"/>
        <v>См.уточнения</v>
      </c>
      <c r="AR230" s="31" t="str">
        <f t="shared" ca="1" si="1288"/>
        <v>См. уточнения</v>
      </c>
      <c r="AS230" s="35">
        <v>0</v>
      </c>
      <c r="AT230" s="229">
        <v>0</v>
      </c>
      <c r="AU230" s="344">
        <f t="shared" ca="1" si="1289"/>
        <v>150</v>
      </c>
      <c r="AV230" s="345">
        <f t="shared" ca="1" si="1290"/>
        <v>150</v>
      </c>
      <c r="AW230" s="346">
        <f t="shared" ca="1" si="1291"/>
        <v>150</v>
      </c>
      <c r="AX230" s="280"/>
      <c r="AY230" s="280"/>
      <c r="AZ230" s="347">
        <f t="shared" ca="1" si="1292"/>
        <v>150</v>
      </c>
      <c r="BA230" s="348">
        <f t="shared" ca="1" si="1293"/>
        <v>150</v>
      </c>
      <c r="BB230" s="347">
        <f t="shared" ca="1" si="1294"/>
        <v>1</v>
      </c>
      <c r="BC230" s="37" t="str">
        <f t="shared" ca="1" si="1294"/>
        <v>1000 контактов</v>
      </c>
      <c r="BD230" s="229" t="str">
        <f t="shared" ca="1" si="1295"/>
        <v>х1000</v>
      </c>
      <c r="BE230" s="283">
        <f t="shared" ca="1" si="1075"/>
        <v>0</v>
      </c>
      <c r="BF230" s="347">
        <f t="array" aca="1" ref="BF230" ca="1">SUM($K230:$V230*$BK230:$BV230)*$AZ230</f>
        <v>0</v>
      </c>
      <c r="BG230" s="347">
        <f t="array" aca="1" ref="BG230" ca="1">SUM($K230:$V230*$BY230:$CJ230*$BK230:$BV230)*$AZ230*$BX230</f>
        <v>0</v>
      </c>
      <c r="BH230" s="347">
        <f t="array" aca="1" ref="BH230" ca="1">SUM($K230:$V230*$BY230:$CJ230*$BK230:$BV230)*(1-$BE230)*$AZ230*$BX230</f>
        <v>0</v>
      </c>
      <c r="BI230" s="350">
        <f t="shared" ca="1" si="1296"/>
        <v>0</v>
      </c>
      <c r="BJ230" s="275" t="str">
        <f t="shared" ca="1" si="1297"/>
        <v>Да</v>
      </c>
      <c r="BK230" s="116">
        <f t="shared" ca="1" si="1298"/>
        <v>0.8</v>
      </c>
      <c r="BL230" s="117">
        <f t="shared" ca="1" si="1298"/>
        <v>0.9</v>
      </c>
      <c r="BM230" s="117">
        <f t="shared" ca="1" si="1298"/>
        <v>1</v>
      </c>
      <c r="BN230" s="117">
        <f t="shared" ca="1" si="1298"/>
        <v>1</v>
      </c>
      <c r="BO230" s="117">
        <f t="shared" ca="1" si="1298"/>
        <v>1</v>
      </c>
      <c r="BP230" s="117">
        <f t="shared" ca="1" si="1298"/>
        <v>1</v>
      </c>
      <c r="BQ230" s="117">
        <f t="shared" ca="1" si="1298"/>
        <v>0.9</v>
      </c>
      <c r="BR230" s="117">
        <f t="shared" ca="1" si="1298"/>
        <v>0.9</v>
      </c>
      <c r="BS230" s="117">
        <f t="shared" ca="1" si="1298"/>
        <v>1.3</v>
      </c>
      <c r="BT230" s="117">
        <f t="shared" ca="1" si="1298"/>
        <v>1.3</v>
      </c>
      <c r="BU230" s="117">
        <f t="shared" ca="1" si="1298"/>
        <v>1.3</v>
      </c>
      <c r="BV230" s="278">
        <f t="shared" ca="1" si="1298"/>
        <v>1.3</v>
      </c>
      <c r="BW230" s="280">
        <f t="shared" si="1076"/>
        <v>4</v>
      </c>
      <c r="BX230" s="118">
        <f>IF($AN230="Ya",100%,100%+extraDelayZ)</f>
        <v>1</v>
      </c>
      <c r="BY230" s="263">
        <f t="shared" si="1299"/>
        <v>1</v>
      </c>
      <c r="BZ230" s="264">
        <f t="shared" si="1300"/>
        <v>1</v>
      </c>
      <c r="CA230" s="264">
        <f t="shared" si="1301"/>
        <v>1</v>
      </c>
      <c r="CB230" s="264">
        <f t="shared" si="1302"/>
        <v>1</v>
      </c>
      <c r="CC230" s="264">
        <f t="shared" si="1303"/>
        <v>1</v>
      </c>
      <c r="CD230" s="264">
        <f t="shared" si="1304"/>
        <v>1</v>
      </c>
      <c r="CE230" s="264">
        <f t="shared" si="1305"/>
        <v>1</v>
      </c>
      <c r="CF230" s="264">
        <f t="shared" si="1306"/>
        <v>1</v>
      </c>
      <c r="CG230" s="264">
        <f t="shared" si="1307"/>
        <v>1</v>
      </c>
      <c r="CH230" s="264">
        <f t="shared" si="1308"/>
        <v>1</v>
      </c>
      <c r="CI230" s="264">
        <f t="shared" si="1309"/>
        <v>1</v>
      </c>
      <c r="CJ230" s="265">
        <f t="shared" si="1310"/>
        <v>1</v>
      </c>
      <c r="CK230" s="269">
        <f t="array" ref="CK230">IF(ISERROR(SUM($K230:$V230*$BY230:$CJ230)/SUM($K230:$V230)),1,SUM($K230:$V230*$BY230:$CJ230)/SUM($K230:$V230))-1</f>
        <v>0</v>
      </c>
      <c r="CL230" s="234"/>
    </row>
    <row r="231" spans="1:90" ht="12.75" hidden="1" outlineLevel="1" x14ac:dyDescent="0.2">
      <c r="B231" s="404" t="str">
        <f t="shared" ca="1" si="1278"/>
        <v>Динамика, заказ от 2,1 до 4,9М, 240х400 или 300х500</v>
      </c>
      <c r="C231" s="676" t="str">
        <f t="shared" ca="1" si="1279"/>
        <v>х1000</v>
      </c>
      <c r="D231" s="405">
        <f t="shared" ca="1" si="1280"/>
        <v>190</v>
      </c>
      <c r="E231" s="405">
        <f t="shared" ca="1" si="1281"/>
        <v>190</v>
      </c>
      <c r="F231" s="405">
        <f t="shared" ca="1" si="1282"/>
        <v>190</v>
      </c>
      <c r="G231" s="406">
        <f t="shared" ca="1" si="1283"/>
        <v>190</v>
      </c>
      <c r="H231" s="406">
        <f t="shared" ca="1" si="1284"/>
        <v>190</v>
      </c>
      <c r="I231" s="406">
        <f t="shared" ca="1" si="1285"/>
        <v>0</v>
      </c>
      <c r="J231" s="407">
        <f t="shared" ca="1" si="1286"/>
        <v>0</v>
      </c>
      <c r="K231" s="408"/>
      <c r="L231" s="409"/>
      <c r="M231" s="409"/>
      <c r="N231" s="409"/>
      <c r="O231" s="409"/>
      <c r="P231" s="409"/>
      <c r="Q231" s="409"/>
      <c r="R231" s="409"/>
      <c r="S231" s="409"/>
      <c r="T231" s="409"/>
      <c r="U231" s="409"/>
      <c r="V231" s="410"/>
      <c r="W231" s="406">
        <f t="shared" ca="1" si="1060"/>
        <v>0</v>
      </c>
      <c r="X231" s="406"/>
      <c r="Y231" s="411"/>
      <c r="Z231" s="412">
        <f t="shared" si="1287"/>
        <v>0</v>
      </c>
      <c r="AA231" s="413"/>
      <c r="AB231" s="413"/>
      <c r="AC231" s="413"/>
      <c r="AD231" s="413"/>
      <c r="AE231" s="413"/>
      <c r="AF231" s="413"/>
      <c r="AG231" s="413"/>
      <c r="AH231" s="413"/>
      <c r="AI231" s="413"/>
      <c r="AJ231" s="413"/>
      <c r="AK231" s="413"/>
      <c r="AL231" s="413"/>
      <c r="AM231" s="572"/>
      <c r="AN231" s="351" t="s">
        <v>149</v>
      </c>
      <c r="AO231" s="351" t="str">
        <f t="shared" si="1074"/>
        <v>Sports.ru</v>
      </c>
      <c r="AP231" s="115">
        <f t="shared" si="1156"/>
        <v>17</v>
      </c>
      <c r="AQ231" s="31" t="str">
        <f t="shared" ca="1" si="1288"/>
        <v>См.уточнения</v>
      </c>
      <c r="AR231" s="31" t="str">
        <f t="shared" ca="1" si="1288"/>
        <v>См. уточнения</v>
      </c>
      <c r="AS231" s="35">
        <v>0</v>
      </c>
      <c r="AT231" s="229">
        <v>0</v>
      </c>
      <c r="AU231" s="344">
        <f t="shared" ca="1" si="1289"/>
        <v>190</v>
      </c>
      <c r="AV231" s="345">
        <f t="shared" ca="1" si="1290"/>
        <v>190</v>
      </c>
      <c r="AW231" s="346">
        <f t="shared" ca="1" si="1291"/>
        <v>190</v>
      </c>
      <c r="AX231" s="280"/>
      <c r="AY231" s="280"/>
      <c r="AZ231" s="347">
        <f t="shared" ca="1" si="1292"/>
        <v>190</v>
      </c>
      <c r="BA231" s="348">
        <f t="shared" ca="1" si="1293"/>
        <v>190</v>
      </c>
      <c r="BB231" s="347">
        <f t="shared" ca="1" si="1294"/>
        <v>1</v>
      </c>
      <c r="BC231" s="37" t="str">
        <f t="shared" ca="1" si="1294"/>
        <v>1000 контактов</v>
      </c>
      <c r="BD231" s="229" t="str">
        <f t="shared" ca="1" si="1295"/>
        <v>х1000</v>
      </c>
      <c r="BE231" s="283">
        <f t="shared" ca="1" si="1075"/>
        <v>0</v>
      </c>
      <c r="BF231" s="347">
        <f t="array" aca="1" ref="BF231" ca="1">SUM($K231:$V231*$BK231:$BV231)*$AZ231</f>
        <v>0</v>
      </c>
      <c r="BG231" s="347">
        <f t="array" aca="1" ref="BG231" ca="1">SUM($K231:$V231*$BY231:$CJ231*$BK231:$BV231)*$AZ231*$BX231</f>
        <v>0</v>
      </c>
      <c r="BH231" s="347">
        <f t="array" aca="1" ref="BH231" ca="1">SUM($K231:$V231*$BY231:$CJ231*$BK231:$BV231)*(1-$BE231)*$AZ231*$BX231</f>
        <v>0</v>
      </c>
      <c r="BI231" s="350">
        <f t="shared" ca="1" si="1296"/>
        <v>0</v>
      </c>
      <c r="BJ231" s="275" t="str">
        <f t="shared" ca="1" si="1297"/>
        <v>Да</v>
      </c>
      <c r="BK231" s="116">
        <f t="shared" ca="1" si="1298"/>
        <v>0.8</v>
      </c>
      <c r="BL231" s="117">
        <f t="shared" ca="1" si="1298"/>
        <v>0.9</v>
      </c>
      <c r="BM231" s="117">
        <f t="shared" ca="1" si="1298"/>
        <v>1</v>
      </c>
      <c r="BN231" s="117">
        <f t="shared" ca="1" si="1298"/>
        <v>1</v>
      </c>
      <c r="BO231" s="117">
        <f t="shared" ca="1" si="1298"/>
        <v>1</v>
      </c>
      <c r="BP231" s="117">
        <f t="shared" ca="1" si="1298"/>
        <v>1</v>
      </c>
      <c r="BQ231" s="117">
        <f t="shared" ca="1" si="1298"/>
        <v>0.9</v>
      </c>
      <c r="BR231" s="117">
        <f t="shared" ca="1" si="1298"/>
        <v>0.9</v>
      </c>
      <c r="BS231" s="117">
        <f t="shared" ca="1" si="1298"/>
        <v>1.3</v>
      </c>
      <c r="BT231" s="117">
        <f t="shared" ca="1" si="1298"/>
        <v>1.3</v>
      </c>
      <c r="BU231" s="117">
        <f t="shared" ca="1" si="1298"/>
        <v>1.3</v>
      </c>
      <c r="BV231" s="278">
        <f t="shared" ca="1" si="1298"/>
        <v>1.3</v>
      </c>
      <c r="BW231" s="280">
        <f t="shared" si="1076"/>
        <v>5</v>
      </c>
      <c r="BX231" s="118">
        <f>IF($AN231="Ya",100%,100%+extraDelayZ)</f>
        <v>1</v>
      </c>
      <c r="BY231" s="263">
        <f t="shared" si="1299"/>
        <v>1</v>
      </c>
      <c r="BZ231" s="264">
        <f t="shared" si="1300"/>
        <v>1</v>
      </c>
      <c r="CA231" s="264">
        <f t="shared" si="1301"/>
        <v>1</v>
      </c>
      <c r="CB231" s="264">
        <f t="shared" si="1302"/>
        <v>1</v>
      </c>
      <c r="CC231" s="264">
        <f t="shared" si="1303"/>
        <v>1</v>
      </c>
      <c r="CD231" s="264">
        <f t="shared" si="1304"/>
        <v>1</v>
      </c>
      <c r="CE231" s="264">
        <f t="shared" si="1305"/>
        <v>1</v>
      </c>
      <c r="CF231" s="264">
        <f t="shared" si="1306"/>
        <v>1</v>
      </c>
      <c r="CG231" s="264">
        <f t="shared" si="1307"/>
        <v>1</v>
      </c>
      <c r="CH231" s="264">
        <f t="shared" si="1308"/>
        <v>1</v>
      </c>
      <c r="CI231" s="264">
        <f t="shared" si="1309"/>
        <v>1</v>
      </c>
      <c r="CJ231" s="265">
        <f t="shared" si="1310"/>
        <v>1</v>
      </c>
      <c r="CK231" s="269">
        <f t="array" ref="CK231">IF(ISERROR(SUM($K231:$V231*$BY231:$CJ231)/SUM($K231:$V231)),1,SUM($K231:$V231*$BY231:$CJ231)/SUM($K231:$V231))-1</f>
        <v>0</v>
      </c>
      <c r="CL231" s="234"/>
    </row>
    <row r="232" spans="1:90" ht="12.75" hidden="1" outlineLevel="1" x14ac:dyDescent="0.2">
      <c r="B232" s="404" t="str">
        <f t="shared" ca="1" si="1278"/>
        <v>Пакет "Охват 5000К", 780x90 или 990х90</v>
      </c>
      <c r="C232" s="676" t="str">
        <f t="shared" ca="1" si="1279"/>
        <v>Пакет</v>
      </c>
      <c r="D232" s="405">
        <f t="shared" ca="1" si="1280"/>
        <v>120</v>
      </c>
      <c r="E232" s="405">
        <f t="shared" ca="1" si="1281"/>
        <v>120</v>
      </c>
      <c r="F232" s="405">
        <f t="shared" ca="1" si="1282"/>
        <v>120</v>
      </c>
      <c r="G232" s="406">
        <f t="shared" ca="1" si="1283"/>
        <v>600000</v>
      </c>
      <c r="H232" s="406">
        <f t="shared" ca="1" si="1284"/>
        <v>600000</v>
      </c>
      <c r="I232" s="406">
        <f t="shared" ca="1" si="1285"/>
        <v>0</v>
      </c>
      <c r="J232" s="407">
        <f t="shared" ca="1" si="1286"/>
        <v>0</v>
      </c>
      <c r="K232" s="408"/>
      <c r="L232" s="409"/>
      <c r="M232" s="409"/>
      <c r="N232" s="409"/>
      <c r="O232" s="409"/>
      <c r="P232" s="409"/>
      <c r="Q232" s="409"/>
      <c r="R232" s="409"/>
      <c r="S232" s="409"/>
      <c r="T232" s="409"/>
      <c r="U232" s="409"/>
      <c r="V232" s="410"/>
      <c r="W232" s="406">
        <f t="shared" ca="1" si="1060"/>
        <v>0</v>
      </c>
      <c r="X232" s="406"/>
      <c r="Y232" s="411"/>
      <c r="Z232" s="412">
        <f t="shared" si="1287"/>
        <v>0</v>
      </c>
      <c r="AA232" s="413"/>
      <c r="AB232" s="413"/>
      <c r="AC232" s="413"/>
      <c r="AD232" s="413"/>
      <c r="AE232" s="413"/>
      <c r="AF232" s="413"/>
      <c r="AG232" s="413"/>
      <c r="AH232" s="413"/>
      <c r="AI232" s="413"/>
      <c r="AJ232" s="413"/>
      <c r="AK232" s="413"/>
      <c r="AL232" s="413"/>
      <c r="AM232" s="572"/>
      <c r="AN232" s="351" t="s">
        <v>149</v>
      </c>
      <c r="AO232" s="351" t="str">
        <f t="shared" si="1074"/>
        <v>Sports.ru</v>
      </c>
      <c r="AP232" s="115">
        <f t="shared" si="1156"/>
        <v>17</v>
      </c>
      <c r="AQ232" s="31" t="str">
        <f t="shared" ca="1" si="1288"/>
        <v>См.уточнения</v>
      </c>
      <c r="AR232" s="31" t="str">
        <f t="shared" ca="1" si="1288"/>
        <v>См. уточнения</v>
      </c>
      <c r="AS232" s="35">
        <v>0</v>
      </c>
      <c r="AT232" s="229">
        <v>0</v>
      </c>
      <c r="AU232" s="344">
        <f t="shared" ca="1" si="1289"/>
        <v>120</v>
      </c>
      <c r="AV232" s="345">
        <f t="shared" ca="1" si="1290"/>
        <v>120</v>
      </c>
      <c r="AW232" s="346">
        <f t="shared" ca="1" si="1291"/>
        <v>120</v>
      </c>
      <c r="AX232" s="280"/>
      <c r="AY232" s="280"/>
      <c r="AZ232" s="347">
        <f t="shared" ca="1" si="1292"/>
        <v>600000</v>
      </c>
      <c r="BA232" s="348">
        <f t="shared" ca="1" si="1293"/>
        <v>600000</v>
      </c>
      <c r="BB232" s="347">
        <f t="shared" ca="1" si="1294"/>
        <v>5000</v>
      </c>
      <c r="BC232" s="37" t="str">
        <f t="shared" ca="1" si="1294"/>
        <v>Пакет</v>
      </c>
      <c r="BD232" s="229" t="str">
        <f t="shared" ca="1" si="1295"/>
        <v>Пакет</v>
      </c>
      <c r="BE232" s="283">
        <f t="shared" ca="1" si="1075"/>
        <v>0</v>
      </c>
      <c r="BF232" s="347">
        <f t="array" aca="1" ref="BF232" ca="1">SUM($K232:$V232*$BK232:$BV232)*$AZ232</f>
        <v>0</v>
      </c>
      <c r="BG232" s="347">
        <f t="array" aca="1" ref="BG232" ca="1">SUM($K232:$V232*$BY232:$CJ232*$BK232:$BV232)*$AZ232*$BX232</f>
        <v>0</v>
      </c>
      <c r="BH232" s="347">
        <f t="array" aca="1" ref="BH232" ca="1">SUM($K232:$V232*$BY232:$CJ232*$BK232:$BV232)*(1-$BE232)*$AZ232*$BX232</f>
        <v>0</v>
      </c>
      <c r="BI232" s="350">
        <f t="shared" ca="1" si="1296"/>
        <v>0</v>
      </c>
      <c r="BJ232" s="275" t="str">
        <f t="shared" ca="1" si="1297"/>
        <v>Да</v>
      </c>
      <c r="BK232" s="116">
        <f t="shared" ca="1" si="1298"/>
        <v>0.8</v>
      </c>
      <c r="BL232" s="117">
        <f t="shared" ca="1" si="1298"/>
        <v>0.9</v>
      </c>
      <c r="BM232" s="117">
        <f t="shared" ca="1" si="1298"/>
        <v>1</v>
      </c>
      <c r="BN232" s="117">
        <f t="shared" ca="1" si="1298"/>
        <v>1</v>
      </c>
      <c r="BO232" s="117">
        <f t="shared" ca="1" si="1298"/>
        <v>1</v>
      </c>
      <c r="BP232" s="117">
        <f t="shared" ca="1" si="1298"/>
        <v>1</v>
      </c>
      <c r="BQ232" s="117">
        <f t="shared" ca="1" si="1298"/>
        <v>0.9</v>
      </c>
      <c r="BR232" s="117">
        <f t="shared" ca="1" si="1298"/>
        <v>0.9</v>
      </c>
      <c r="BS232" s="117">
        <f t="shared" ca="1" si="1298"/>
        <v>1.3</v>
      </c>
      <c r="BT232" s="117">
        <f t="shared" ca="1" si="1298"/>
        <v>1.3</v>
      </c>
      <c r="BU232" s="117">
        <f t="shared" ca="1" si="1298"/>
        <v>1.3</v>
      </c>
      <c r="BV232" s="278">
        <f t="shared" ca="1" si="1298"/>
        <v>1.3</v>
      </c>
      <c r="BW232" s="280">
        <f t="shared" si="1076"/>
        <v>6</v>
      </c>
      <c r="BX232" s="118">
        <f>IF($AN232="Ya",100%,100%+extraDelayZ)</f>
        <v>1</v>
      </c>
      <c r="BY232" s="263">
        <f t="shared" si="1299"/>
        <v>1</v>
      </c>
      <c r="BZ232" s="264">
        <f t="shared" si="1300"/>
        <v>1</v>
      </c>
      <c r="CA232" s="264">
        <f t="shared" si="1301"/>
        <v>1</v>
      </c>
      <c r="CB232" s="264">
        <f t="shared" si="1302"/>
        <v>1</v>
      </c>
      <c r="CC232" s="264">
        <f t="shared" si="1303"/>
        <v>1</v>
      </c>
      <c r="CD232" s="264">
        <f t="shared" si="1304"/>
        <v>1</v>
      </c>
      <c r="CE232" s="264">
        <f t="shared" si="1305"/>
        <v>1</v>
      </c>
      <c r="CF232" s="264">
        <f t="shared" si="1306"/>
        <v>1</v>
      </c>
      <c r="CG232" s="264">
        <f t="shared" si="1307"/>
        <v>1</v>
      </c>
      <c r="CH232" s="264">
        <f t="shared" si="1308"/>
        <v>1</v>
      </c>
      <c r="CI232" s="264">
        <f t="shared" si="1309"/>
        <v>1</v>
      </c>
      <c r="CJ232" s="265">
        <f t="shared" si="1310"/>
        <v>1</v>
      </c>
      <c r="CK232" s="269">
        <f t="array" ref="CK232">IF(ISERROR(SUM($K232:$V232*$BY232:$CJ232)/SUM($K232:$V232)),1,SUM($K232:$V232*$BY232:$CJ232)/SUM($K232:$V232))-1</f>
        <v>0</v>
      </c>
      <c r="CL232" s="234"/>
    </row>
    <row r="233" spans="1:90" ht="12.75" hidden="1" outlineLevel="1" x14ac:dyDescent="0.2">
      <c r="B233" s="404" t="str">
        <f t="shared" ca="1" si="1278"/>
        <v>Пакет "Охват 5000K", 240x400 или 300х500</v>
      </c>
      <c r="C233" s="676" t="str">
        <f t="shared" ca="1" si="1279"/>
        <v>Пакет</v>
      </c>
      <c r="D233" s="405">
        <f t="shared" ca="1" si="1280"/>
        <v>150</v>
      </c>
      <c r="E233" s="405">
        <f t="shared" ca="1" si="1281"/>
        <v>150</v>
      </c>
      <c r="F233" s="405">
        <f t="shared" ca="1" si="1282"/>
        <v>150</v>
      </c>
      <c r="G233" s="406">
        <f t="shared" ca="1" si="1283"/>
        <v>750000</v>
      </c>
      <c r="H233" s="406">
        <f t="shared" ca="1" si="1284"/>
        <v>750000</v>
      </c>
      <c r="I233" s="406">
        <f t="shared" ca="1" si="1285"/>
        <v>0</v>
      </c>
      <c r="J233" s="407">
        <f t="shared" ca="1" si="1286"/>
        <v>0</v>
      </c>
      <c r="K233" s="408"/>
      <c r="L233" s="409"/>
      <c r="M233" s="409"/>
      <c r="N233" s="409"/>
      <c r="O233" s="409"/>
      <c r="P233" s="409"/>
      <c r="Q233" s="409"/>
      <c r="R233" s="409"/>
      <c r="S233" s="409"/>
      <c r="T233" s="409"/>
      <c r="U233" s="409"/>
      <c r="V233" s="410"/>
      <c r="W233" s="406">
        <f t="shared" ca="1" si="1060"/>
        <v>0</v>
      </c>
      <c r="X233" s="406"/>
      <c r="Y233" s="411"/>
      <c r="Z233" s="412">
        <f t="shared" ref="Z233" si="1311">CK233</f>
        <v>0</v>
      </c>
      <c r="AA233" s="413"/>
      <c r="AB233" s="413"/>
      <c r="AC233" s="413"/>
      <c r="AD233" s="413"/>
      <c r="AE233" s="413"/>
      <c r="AF233" s="413"/>
      <c r="AG233" s="413"/>
      <c r="AH233" s="413"/>
      <c r="AI233" s="413"/>
      <c r="AJ233" s="413"/>
      <c r="AK233" s="413"/>
      <c r="AL233" s="413"/>
      <c r="AM233" s="572"/>
      <c r="AN233" s="351" t="s">
        <v>149</v>
      </c>
      <c r="AO233" s="351" t="str">
        <f t="shared" si="1074"/>
        <v>Sports.ru</v>
      </c>
      <c r="AP233" s="115">
        <f t="shared" si="1156"/>
        <v>17</v>
      </c>
      <c r="AQ233" s="31" t="str">
        <f t="shared" ca="1" si="1288"/>
        <v>См.уточнения</v>
      </c>
      <c r="AR233" s="31" t="str">
        <f t="shared" ca="1" si="1288"/>
        <v>См. уточнения</v>
      </c>
      <c r="AS233" s="35">
        <v>0</v>
      </c>
      <c r="AT233" s="229">
        <v>0</v>
      </c>
      <c r="AU233" s="344">
        <f t="shared" ca="1" si="1289"/>
        <v>150</v>
      </c>
      <c r="AV233" s="345">
        <f t="shared" ca="1" si="1290"/>
        <v>150</v>
      </c>
      <c r="AW233" s="346">
        <f t="shared" ca="1" si="1291"/>
        <v>150</v>
      </c>
      <c r="AX233" s="280"/>
      <c r="AY233" s="280"/>
      <c r="AZ233" s="347">
        <f t="shared" ca="1" si="1292"/>
        <v>750000</v>
      </c>
      <c r="BA233" s="348">
        <f t="shared" ca="1" si="1293"/>
        <v>750000</v>
      </c>
      <c r="BB233" s="347">
        <f t="shared" ca="1" si="1294"/>
        <v>5000</v>
      </c>
      <c r="BC233" s="37" t="str">
        <f t="shared" ca="1" si="1294"/>
        <v>Пакет</v>
      </c>
      <c r="BD233" s="229" t="str">
        <f t="shared" ca="1" si="1295"/>
        <v>Пакет</v>
      </c>
      <c r="BE233" s="283">
        <f t="shared" ca="1" si="1075"/>
        <v>0</v>
      </c>
      <c r="BF233" s="347">
        <f t="array" aca="1" ref="BF233" ca="1">SUM($K233:$V233*$BK233:$BV233)*$AZ233</f>
        <v>0</v>
      </c>
      <c r="BG233" s="347">
        <f t="array" aca="1" ref="BG233" ca="1">SUM($K233:$V233*$BY233:$CJ233*$BK233:$BV233)*$AZ233*$BX233</f>
        <v>0</v>
      </c>
      <c r="BH233" s="347">
        <f t="array" aca="1" ref="BH233" ca="1">SUM($K233:$V233*$BY233:$CJ233*$BK233:$BV233)*(1-$BE233)*$AZ233*$BX233</f>
        <v>0</v>
      </c>
      <c r="BI233" s="350">
        <f t="shared" ca="1" si="1296"/>
        <v>0</v>
      </c>
      <c r="BJ233" s="275" t="str">
        <f t="shared" ca="1" si="1297"/>
        <v>Да</v>
      </c>
      <c r="BK233" s="116">
        <f t="shared" ca="1" si="1298"/>
        <v>0.8</v>
      </c>
      <c r="BL233" s="117">
        <f t="shared" ca="1" si="1298"/>
        <v>0.9</v>
      </c>
      <c r="BM233" s="117">
        <f t="shared" ca="1" si="1298"/>
        <v>1</v>
      </c>
      <c r="BN233" s="117">
        <f t="shared" ca="1" si="1298"/>
        <v>1</v>
      </c>
      <c r="BO233" s="117">
        <f t="shared" ca="1" si="1298"/>
        <v>1</v>
      </c>
      <c r="BP233" s="117">
        <f t="shared" ca="1" si="1298"/>
        <v>1</v>
      </c>
      <c r="BQ233" s="117">
        <f t="shared" ca="1" si="1298"/>
        <v>0.9</v>
      </c>
      <c r="BR233" s="117">
        <f t="shared" ca="1" si="1298"/>
        <v>0.9</v>
      </c>
      <c r="BS233" s="117">
        <f t="shared" ca="1" si="1298"/>
        <v>1.3</v>
      </c>
      <c r="BT233" s="117">
        <f t="shared" ca="1" si="1298"/>
        <v>1.3</v>
      </c>
      <c r="BU233" s="117">
        <f t="shared" ca="1" si="1298"/>
        <v>1.3</v>
      </c>
      <c r="BV233" s="278">
        <f t="shared" ca="1" si="1298"/>
        <v>1.3</v>
      </c>
      <c r="BW233" s="280">
        <f t="shared" si="1076"/>
        <v>7</v>
      </c>
      <c r="BX233" s="118">
        <f>IF($AN233="Ya",100%,100%+extraDelayZ)</f>
        <v>1</v>
      </c>
      <c r="BY233" s="263">
        <f t="shared" ref="BY233" si="1312">(1+AA233)</f>
        <v>1</v>
      </c>
      <c r="BZ233" s="264">
        <f t="shared" ref="BZ233" si="1313">(1+AB233)</f>
        <v>1</v>
      </c>
      <c r="CA233" s="264">
        <f t="shared" ref="CA233" si="1314">(1+AC233)</f>
        <v>1</v>
      </c>
      <c r="CB233" s="264">
        <f t="shared" ref="CB233" si="1315">(1+AD233)</f>
        <v>1</v>
      </c>
      <c r="CC233" s="264">
        <f t="shared" ref="CC233" si="1316">(1+AE233)</f>
        <v>1</v>
      </c>
      <c r="CD233" s="264">
        <f t="shared" ref="CD233" si="1317">(1+AF233)</f>
        <v>1</v>
      </c>
      <c r="CE233" s="264">
        <f t="shared" ref="CE233" si="1318">(1+AG233)</f>
        <v>1</v>
      </c>
      <c r="CF233" s="264">
        <f t="shared" ref="CF233" si="1319">(1+AH233)</f>
        <v>1</v>
      </c>
      <c r="CG233" s="264">
        <f t="shared" ref="CG233" si="1320">(1+AI233)</f>
        <v>1</v>
      </c>
      <c r="CH233" s="264">
        <f t="shared" ref="CH233" si="1321">(1+AJ233)</f>
        <v>1</v>
      </c>
      <c r="CI233" s="264">
        <f t="shared" ref="CI233" si="1322">(1+AK233)</f>
        <v>1</v>
      </c>
      <c r="CJ233" s="265">
        <f t="shared" ref="CJ233" si="1323">(1+AL233)</f>
        <v>1</v>
      </c>
      <c r="CK233" s="269">
        <f t="array" ref="CK233">IF(ISERROR(SUM($K233:$V233*$BY233:$CJ233)/SUM($K233:$V233)),1,SUM($K233:$V233*$BY233:$CJ233)/SUM($K233:$V233))-1</f>
        <v>0</v>
      </c>
      <c r="CL233" s="234"/>
    </row>
    <row r="234" spans="1:90" ht="12.75" hidden="1" outlineLevel="1" x14ac:dyDescent="0.2">
      <c r="B234" s="404" t="str">
        <f t="shared" ca="1" si="1278"/>
        <v>Пакет "Охват 8000K", 780x90 или 990х90</v>
      </c>
      <c r="C234" s="676" t="str">
        <f t="shared" ca="1" si="1279"/>
        <v>Пакет</v>
      </c>
      <c r="D234" s="405">
        <f t="shared" ca="1" si="1280"/>
        <v>100</v>
      </c>
      <c r="E234" s="405">
        <f t="shared" ca="1" si="1281"/>
        <v>100</v>
      </c>
      <c r="F234" s="405">
        <f t="shared" ca="1" si="1282"/>
        <v>100</v>
      </c>
      <c r="G234" s="406">
        <f t="shared" ca="1" si="1283"/>
        <v>800000</v>
      </c>
      <c r="H234" s="406">
        <f t="shared" ca="1" si="1284"/>
        <v>800000</v>
      </c>
      <c r="I234" s="406">
        <f t="shared" ca="1" si="1285"/>
        <v>0</v>
      </c>
      <c r="J234" s="407">
        <f t="shared" ca="1" si="1286"/>
        <v>0</v>
      </c>
      <c r="K234" s="408"/>
      <c r="L234" s="409"/>
      <c r="M234" s="409"/>
      <c r="N234" s="409"/>
      <c r="O234" s="409"/>
      <c r="P234" s="409"/>
      <c r="Q234" s="409"/>
      <c r="R234" s="409"/>
      <c r="S234" s="409"/>
      <c r="T234" s="409"/>
      <c r="U234" s="409"/>
      <c r="V234" s="410"/>
      <c r="W234" s="406">
        <f t="shared" ca="1" si="1060"/>
        <v>0</v>
      </c>
      <c r="X234" s="406"/>
      <c r="Y234" s="411"/>
      <c r="Z234" s="412">
        <f t="shared" ref="Z234" si="1324">CK234</f>
        <v>0</v>
      </c>
      <c r="AA234" s="413"/>
      <c r="AB234" s="413"/>
      <c r="AC234" s="413"/>
      <c r="AD234" s="413"/>
      <c r="AE234" s="413"/>
      <c r="AF234" s="413"/>
      <c r="AG234" s="413"/>
      <c r="AH234" s="413"/>
      <c r="AI234" s="413"/>
      <c r="AJ234" s="413"/>
      <c r="AK234" s="413"/>
      <c r="AL234" s="413"/>
      <c r="AM234" s="572"/>
      <c r="AN234" s="351" t="s">
        <v>149</v>
      </c>
      <c r="AO234" s="351" t="str">
        <f t="shared" si="1074"/>
        <v>Sports.ru</v>
      </c>
      <c r="AP234" s="115">
        <f t="shared" si="1156"/>
        <v>17</v>
      </c>
      <c r="AQ234" s="31" t="str">
        <f t="shared" ca="1" si="1288"/>
        <v>См.уточнения</v>
      </c>
      <c r="AR234" s="31" t="str">
        <f t="shared" ca="1" si="1288"/>
        <v>См. уточнения</v>
      </c>
      <c r="AS234" s="35">
        <v>0</v>
      </c>
      <c r="AT234" s="229">
        <v>0</v>
      </c>
      <c r="AU234" s="344">
        <f t="shared" ca="1" si="1289"/>
        <v>100</v>
      </c>
      <c r="AV234" s="345">
        <f t="shared" ca="1" si="1290"/>
        <v>100</v>
      </c>
      <c r="AW234" s="346">
        <f t="shared" ca="1" si="1291"/>
        <v>100</v>
      </c>
      <c r="AX234" s="280"/>
      <c r="AY234" s="280"/>
      <c r="AZ234" s="347">
        <f t="shared" ca="1" si="1292"/>
        <v>800000</v>
      </c>
      <c r="BA234" s="348">
        <f t="shared" ca="1" si="1293"/>
        <v>800000</v>
      </c>
      <c r="BB234" s="347">
        <f t="shared" ca="1" si="1294"/>
        <v>8000</v>
      </c>
      <c r="BC234" s="37" t="str">
        <f t="shared" ca="1" si="1294"/>
        <v>Пакет</v>
      </c>
      <c r="BD234" s="229" t="str">
        <f t="shared" ca="1" si="1295"/>
        <v>Пакет</v>
      </c>
      <c r="BE234" s="283">
        <f t="shared" ca="1" si="1075"/>
        <v>0</v>
      </c>
      <c r="BF234" s="347">
        <f t="array" aca="1" ref="BF234" ca="1">SUM($K234:$V234*$BK234:$BV234)*$AZ234</f>
        <v>0</v>
      </c>
      <c r="BG234" s="347">
        <f t="array" aca="1" ref="BG234" ca="1">SUM($K234:$V234*$BY234:$CJ234*$BK234:$BV234)*$AZ234*$BX234</f>
        <v>0</v>
      </c>
      <c r="BH234" s="347">
        <f t="array" aca="1" ref="BH234" ca="1">SUM($K234:$V234*$BY234:$CJ234*$BK234:$BV234)*(1-$BE234)*$AZ234*$BX234</f>
        <v>0</v>
      </c>
      <c r="BI234" s="350">
        <f t="shared" ca="1" si="1296"/>
        <v>0</v>
      </c>
      <c r="BJ234" s="275" t="str">
        <f t="shared" ca="1" si="1297"/>
        <v>Да</v>
      </c>
      <c r="BK234" s="116">
        <f t="shared" ca="1" si="1298"/>
        <v>0.8</v>
      </c>
      <c r="BL234" s="117">
        <f t="shared" ca="1" si="1298"/>
        <v>0.9</v>
      </c>
      <c r="BM234" s="117">
        <f t="shared" ca="1" si="1298"/>
        <v>1</v>
      </c>
      <c r="BN234" s="117">
        <f t="shared" ca="1" si="1298"/>
        <v>1</v>
      </c>
      <c r="BO234" s="117">
        <f t="shared" ca="1" si="1298"/>
        <v>1</v>
      </c>
      <c r="BP234" s="117">
        <f t="shared" ca="1" si="1298"/>
        <v>1</v>
      </c>
      <c r="BQ234" s="117">
        <f t="shared" ca="1" si="1298"/>
        <v>0.9</v>
      </c>
      <c r="BR234" s="117">
        <f t="shared" ca="1" si="1298"/>
        <v>0.9</v>
      </c>
      <c r="BS234" s="117">
        <f t="shared" ca="1" si="1298"/>
        <v>1.3</v>
      </c>
      <c r="BT234" s="117">
        <f t="shared" ca="1" si="1298"/>
        <v>1.3</v>
      </c>
      <c r="BU234" s="117">
        <f t="shared" ca="1" si="1298"/>
        <v>1.3</v>
      </c>
      <c r="BV234" s="278">
        <f t="shared" ca="1" si="1298"/>
        <v>1.3</v>
      </c>
      <c r="BW234" s="280">
        <f t="shared" si="1076"/>
        <v>8</v>
      </c>
      <c r="BX234" s="118">
        <f>IF($AN234="Ya",100%,100%+extraDelayZ)</f>
        <v>1</v>
      </c>
      <c r="BY234" s="263">
        <f t="shared" ref="BY234" si="1325">(1+AA234)</f>
        <v>1</v>
      </c>
      <c r="BZ234" s="264">
        <f t="shared" ref="BZ234" si="1326">(1+AB234)</f>
        <v>1</v>
      </c>
      <c r="CA234" s="264">
        <f t="shared" ref="CA234" si="1327">(1+AC234)</f>
        <v>1</v>
      </c>
      <c r="CB234" s="264">
        <f t="shared" ref="CB234" si="1328">(1+AD234)</f>
        <v>1</v>
      </c>
      <c r="CC234" s="264">
        <f t="shared" ref="CC234" si="1329">(1+AE234)</f>
        <v>1</v>
      </c>
      <c r="CD234" s="264">
        <f t="shared" ref="CD234" si="1330">(1+AF234)</f>
        <v>1</v>
      </c>
      <c r="CE234" s="264">
        <f t="shared" ref="CE234" si="1331">(1+AG234)</f>
        <v>1</v>
      </c>
      <c r="CF234" s="264">
        <f t="shared" ref="CF234" si="1332">(1+AH234)</f>
        <v>1</v>
      </c>
      <c r="CG234" s="264">
        <f t="shared" ref="CG234" si="1333">(1+AI234)</f>
        <v>1</v>
      </c>
      <c r="CH234" s="264">
        <f t="shared" ref="CH234" si="1334">(1+AJ234)</f>
        <v>1</v>
      </c>
      <c r="CI234" s="264">
        <f t="shared" ref="CI234" si="1335">(1+AK234)</f>
        <v>1</v>
      </c>
      <c r="CJ234" s="265">
        <f t="shared" ref="CJ234" si="1336">(1+AL234)</f>
        <v>1</v>
      </c>
      <c r="CK234" s="269">
        <f t="array" ref="CK234">IF(ISERROR(SUM($K234:$V234*$BY234:$CJ234)/SUM($K234:$V234)),1,SUM($K234:$V234*$BY234:$CJ234)/SUM($K234:$V234))-1</f>
        <v>0</v>
      </c>
      <c r="CL234" s="234"/>
    </row>
    <row r="235" spans="1:90" ht="12.75" hidden="1" outlineLevel="1" x14ac:dyDescent="0.2">
      <c r="B235" s="404" t="str">
        <f t="shared" ca="1" si="1278"/>
        <v>Пакет "Охват 8000К", 240х400 или 300х500</v>
      </c>
      <c r="C235" s="676" t="str">
        <f t="shared" ca="1" si="1279"/>
        <v>Пакет</v>
      </c>
      <c r="D235" s="405">
        <f t="shared" ca="1" si="1280"/>
        <v>120</v>
      </c>
      <c r="E235" s="405">
        <f t="shared" ca="1" si="1281"/>
        <v>120</v>
      </c>
      <c r="F235" s="405">
        <f t="shared" ca="1" si="1282"/>
        <v>120</v>
      </c>
      <c r="G235" s="406">
        <f t="shared" ca="1" si="1283"/>
        <v>960000</v>
      </c>
      <c r="H235" s="406">
        <f t="shared" ca="1" si="1284"/>
        <v>960000</v>
      </c>
      <c r="I235" s="406">
        <f t="shared" ca="1" si="1285"/>
        <v>0</v>
      </c>
      <c r="J235" s="407">
        <f t="shared" ca="1" si="1286"/>
        <v>0</v>
      </c>
      <c r="K235" s="408"/>
      <c r="L235" s="409"/>
      <c r="M235" s="409"/>
      <c r="N235" s="409"/>
      <c r="O235" s="409"/>
      <c r="P235" s="409"/>
      <c r="Q235" s="409"/>
      <c r="R235" s="409"/>
      <c r="S235" s="409"/>
      <c r="T235" s="409"/>
      <c r="U235" s="409"/>
      <c r="V235" s="410"/>
      <c r="W235" s="406">
        <f t="shared" ca="1" si="1060"/>
        <v>0</v>
      </c>
      <c r="X235" s="406"/>
      <c r="Y235" s="411"/>
      <c r="Z235" s="412">
        <f t="shared" ref="Z235" si="1337">CK235</f>
        <v>0</v>
      </c>
      <c r="AA235" s="413"/>
      <c r="AB235" s="413"/>
      <c r="AC235" s="413"/>
      <c r="AD235" s="413"/>
      <c r="AE235" s="413"/>
      <c r="AF235" s="413"/>
      <c r="AG235" s="413"/>
      <c r="AH235" s="413"/>
      <c r="AI235" s="413"/>
      <c r="AJ235" s="413"/>
      <c r="AK235" s="413"/>
      <c r="AL235" s="413"/>
      <c r="AM235" s="572"/>
      <c r="AN235" s="351" t="s">
        <v>149</v>
      </c>
      <c r="AO235" s="351" t="str">
        <f t="shared" si="1074"/>
        <v>Sports.ru</v>
      </c>
      <c r="AP235" s="115">
        <f t="shared" si="1156"/>
        <v>17</v>
      </c>
      <c r="AQ235" s="31" t="str">
        <f t="shared" ca="1" si="1288"/>
        <v>См.уточнения</v>
      </c>
      <c r="AR235" s="31" t="str">
        <f t="shared" ca="1" si="1288"/>
        <v>См. уточнения</v>
      </c>
      <c r="AS235" s="35">
        <v>0</v>
      </c>
      <c r="AT235" s="229">
        <v>0</v>
      </c>
      <c r="AU235" s="344">
        <f t="shared" ca="1" si="1289"/>
        <v>120</v>
      </c>
      <c r="AV235" s="345">
        <f t="shared" ca="1" si="1290"/>
        <v>120</v>
      </c>
      <c r="AW235" s="346">
        <f t="shared" ca="1" si="1291"/>
        <v>120</v>
      </c>
      <c r="AX235" s="280"/>
      <c r="AY235" s="280"/>
      <c r="AZ235" s="347">
        <f t="shared" ca="1" si="1292"/>
        <v>960000</v>
      </c>
      <c r="BA235" s="348">
        <f t="shared" ca="1" si="1293"/>
        <v>960000</v>
      </c>
      <c r="BB235" s="347">
        <f t="shared" ca="1" si="1294"/>
        <v>8000</v>
      </c>
      <c r="BC235" s="37" t="str">
        <f t="shared" ca="1" si="1294"/>
        <v>Пакет</v>
      </c>
      <c r="BD235" s="229" t="str">
        <f t="shared" ca="1" si="1295"/>
        <v>Пакет</v>
      </c>
      <c r="BE235" s="283">
        <f t="shared" ca="1" si="1075"/>
        <v>0</v>
      </c>
      <c r="BF235" s="347">
        <f t="array" aca="1" ref="BF235" ca="1">SUM($K235:$V235*$BK235:$BV235)*$AZ235</f>
        <v>0</v>
      </c>
      <c r="BG235" s="347">
        <f t="array" aca="1" ref="BG235" ca="1">SUM($K235:$V235*$BY235:$CJ235*$BK235:$BV235)*$AZ235*$BX235</f>
        <v>0</v>
      </c>
      <c r="BH235" s="347">
        <f t="array" aca="1" ref="BH235" ca="1">SUM($K235:$V235*$BY235:$CJ235*$BK235:$BV235)*(1-$BE235)*$AZ235*$BX235</f>
        <v>0</v>
      </c>
      <c r="BI235" s="350">
        <f t="shared" ca="1" si="1296"/>
        <v>0</v>
      </c>
      <c r="BJ235" s="275" t="str">
        <f t="shared" ca="1" si="1297"/>
        <v>Да</v>
      </c>
      <c r="BK235" s="116">
        <f t="shared" ca="1" si="1298"/>
        <v>0.8</v>
      </c>
      <c r="BL235" s="117">
        <f t="shared" ca="1" si="1298"/>
        <v>0.9</v>
      </c>
      <c r="BM235" s="117">
        <f t="shared" ca="1" si="1298"/>
        <v>1</v>
      </c>
      <c r="BN235" s="117">
        <f t="shared" ca="1" si="1298"/>
        <v>1</v>
      </c>
      <c r="BO235" s="117">
        <f t="shared" ca="1" si="1298"/>
        <v>1</v>
      </c>
      <c r="BP235" s="117">
        <f t="shared" ca="1" si="1298"/>
        <v>1</v>
      </c>
      <c r="BQ235" s="117">
        <f t="shared" ca="1" si="1298"/>
        <v>0.9</v>
      </c>
      <c r="BR235" s="117">
        <f t="shared" ca="1" si="1298"/>
        <v>0.9</v>
      </c>
      <c r="BS235" s="117">
        <f t="shared" ca="1" si="1298"/>
        <v>1.3</v>
      </c>
      <c r="BT235" s="117">
        <f t="shared" ca="1" si="1298"/>
        <v>1.3</v>
      </c>
      <c r="BU235" s="117">
        <f t="shared" ca="1" si="1298"/>
        <v>1.3</v>
      </c>
      <c r="BV235" s="278">
        <f t="shared" ca="1" si="1298"/>
        <v>1.3</v>
      </c>
      <c r="BW235" s="280">
        <f t="shared" si="1076"/>
        <v>9</v>
      </c>
      <c r="BX235" s="118">
        <f>IF($AN235="Ya",100%,100%+extraDelayZ)</f>
        <v>1</v>
      </c>
      <c r="BY235" s="263">
        <f t="shared" ref="BY235" si="1338">(1+AA235)</f>
        <v>1</v>
      </c>
      <c r="BZ235" s="264">
        <f t="shared" ref="BZ235" si="1339">(1+AB235)</f>
        <v>1</v>
      </c>
      <c r="CA235" s="264">
        <f t="shared" ref="CA235" si="1340">(1+AC235)</f>
        <v>1</v>
      </c>
      <c r="CB235" s="264">
        <f t="shared" ref="CB235" si="1341">(1+AD235)</f>
        <v>1</v>
      </c>
      <c r="CC235" s="264">
        <f t="shared" ref="CC235" si="1342">(1+AE235)</f>
        <v>1</v>
      </c>
      <c r="CD235" s="264">
        <f t="shared" ref="CD235" si="1343">(1+AF235)</f>
        <v>1</v>
      </c>
      <c r="CE235" s="264">
        <f t="shared" ref="CE235" si="1344">(1+AG235)</f>
        <v>1</v>
      </c>
      <c r="CF235" s="264">
        <f t="shared" ref="CF235" si="1345">(1+AH235)</f>
        <v>1</v>
      </c>
      <c r="CG235" s="264">
        <f t="shared" ref="CG235" si="1346">(1+AI235)</f>
        <v>1</v>
      </c>
      <c r="CH235" s="264">
        <f t="shared" ref="CH235" si="1347">(1+AJ235)</f>
        <v>1</v>
      </c>
      <c r="CI235" s="264">
        <f t="shared" ref="CI235" si="1348">(1+AK235)</f>
        <v>1</v>
      </c>
      <c r="CJ235" s="265">
        <f t="shared" ref="CJ235" si="1349">(1+AL235)</f>
        <v>1</v>
      </c>
      <c r="CK235" s="269">
        <f t="array" ref="CK235">IF(ISERROR(SUM($K235:$V235*$BY235:$CJ235)/SUM($K235:$V235)),1,SUM($K235:$V235*$BY235:$CJ235)/SUM($K235:$V235))-1</f>
        <v>0</v>
      </c>
      <c r="CL235" s="234"/>
    </row>
    <row r="236" spans="1:90" ht="12.75" hidden="1" outlineLevel="1" x14ac:dyDescent="0.2">
      <c r="B236" s="404" t="str">
        <f t="shared" ca="1" si="1278"/>
        <v>Пакет "Футбол 2000К", 780x90 или 990х90</v>
      </c>
      <c r="C236" s="676" t="str">
        <f t="shared" ca="1" si="1279"/>
        <v>Пакет</v>
      </c>
      <c r="D236" s="405">
        <f t="shared" ca="1" si="1280"/>
        <v>150</v>
      </c>
      <c r="E236" s="405">
        <f t="shared" ca="1" si="1281"/>
        <v>150</v>
      </c>
      <c r="F236" s="405">
        <f t="shared" ca="1" si="1282"/>
        <v>150</v>
      </c>
      <c r="G236" s="406">
        <f t="shared" ca="1" si="1283"/>
        <v>300000</v>
      </c>
      <c r="H236" s="406">
        <f t="shared" ca="1" si="1284"/>
        <v>300000</v>
      </c>
      <c r="I236" s="406">
        <f t="shared" ca="1" si="1285"/>
        <v>0</v>
      </c>
      <c r="J236" s="407">
        <f t="shared" ca="1" si="1286"/>
        <v>0</v>
      </c>
      <c r="K236" s="408"/>
      <c r="L236" s="409"/>
      <c r="M236" s="409"/>
      <c r="N236" s="409"/>
      <c r="O236" s="409"/>
      <c r="P236" s="409"/>
      <c r="Q236" s="409"/>
      <c r="R236" s="409"/>
      <c r="S236" s="409"/>
      <c r="T236" s="409"/>
      <c r="U236" s="409"/>
      <c r="V236" s="410"/>
      <c r="W236" s="406">
        <f t="shared" ca="1" si="1060"/>
        <v>0</v>
      </c>
      <c r="X236" s="406"/>
      <c r="Y236" s="411"/>
      <c r="Z236" s="412">
        <f t="shared" si="1287"/>
        <v>0</v>
      </c>
      <c r="AA236" s="413"/>
      <c r="AB236" s="413"/>
      <c r="AC236" s="413"/>
      <c r="AD236" s="413"/>
      <c r="AE236" s="413"/>
      <c r="AF236" s="413"/>
      <c r="AG236" s="413"/>
      <c r="AH236" s="413"/>
      <c r="AI236" s="413"/>
      <c r="AJ236" s="413"/>
      <c r="AK236" s="413"/>
      <c r="AL236" s="413"/>
      <c r="AM236" s="572"/>
      <c r="AN236" s="351" t="s">
        <v>149</v>
      </c>
      <c r="AO236" s="351" t="str">
        <f t="shared" si="1074"/>
        <v>Sports.ru</v>
      </c>
      <c r="AP236" s="115">
        <f t="shared" si="1156"/>
        <v>17</v>
      </c>
      <c r="AQ236" s="31" t="str">
        <f t="shared" ca="1" si="1288"/>
        <v>См.уточнения</v>
      </c>
      <c r="AR236" s="31" t="str">
        <f t="shared" ca="1" si="1288"/>
        <v>См. уточнения</v>
      </c>
      <c r="AS236" s="35">
        <v>0</v>
      </c>
      <c r="AT236" s="229">
        <v>0</v>
      </c>
      <c r="AU236" s="344">
        <f t="shared" ca="1" si="1289"/>
        <v>150</v>
      </c>
      <c r="AV236" s="345">
        <f t="shared" ca="1" si="1290"/>
        <v>150</v>
      </c>
      <c r="AW236" s="346">
        <f t="shared" ca="1" si="1291"/>
        <v>150</v>
      </c>
      <c r="AX236" s="280"/>
      <c r="AY236" s="280"/>
      <c r="AZ236" s="347">
        <f t="shared" ca="1" si="1292"/>
        <v>300000</v>
      </c>
      <c r="BA236" s="348">
        <f t="shared" ca="1" si="1293"/>
        <v>300000</v>
      </c>
      <c r="BB236" s="347">
        <f t="shared" ca="1" si="1294"/>
        <v>2000</v>
      </c>
      <c r="BC236" s="37" t="str">
        <f t="shared" ca="1" si="1294"/>
        <v>Пакет</v>
      </c>
      <c r="BD236" s="229" t="str">
        <f t="shared" ca="1" si="1295"/>
        <v>Пакет</v>
      </c>
      <c r="BE236" s="283">
        <f t="shared" ca="1" si="1075"/>
        <v>0</v>
      </c>
      <c r="BF236" s="347">
        <f t="array" aca="1" ref="BF236" ca="1">SUM($K236:$V236*$BK236:$BV236)*$AZ236</f>
        <v>0</v>
      </c>
      <c r="BG236" s="347">
        <f t="array" aca="1" ref="BG236" ca="1">SUM($K236:$V236*$BY236:$CJ236*$BK236:$BV236)*$AZ236*$BX236</f>
        <v>0</v>
      </c>
      <c r="BH236" s="347">
        <f t="array" aca="1" ref="BH236" ca="1">SUM($K236:$V236*$BY236:$CJ236*$BK236:$BV236)*(1-$BE236)*$AZ236*$BX236</f>
        <v>0</v>
      </c>
      <c r="BI236" s="350">
        <f t="shared" ca="1" si="1296"/>
        <v>0</v>
      </c>
      <c r="BJ236" s="275" t="str">
        <f t="shared" ca="1" si="1297"/>
        <v>Да</v>
      </c>
      <c r="BK236" s="116">
        <f t="shared" ca="1" si="1298"/>
        <v>0.8</v>
      </c>
      <c r="BL236" s="117">
        <f t="shared" ca="1" si="1298"/>
        <v>0.9</v>
      </c>
      <c r="BM236" s="117">
        <f t="shared" ca="1" si="1298"/>
        <v>1</v>
      </c>
      <c r="BN236" s="117">
        <f t="shared" ca="1" si="1298"/>
        <v>1</v>
      </c>
      <c r="BO236" s="117">
        <f t="shared" ca="1" si="1298"/>
        <v>1</v>
      </c>
      <c r="BP236" s="117">
        <f t="shared" ca="1" si="1298"/>
        <v>1</v>
      </c>
      <c r="BQ236" s="117">
        <f t="shared" ca="1" si="1298"/>
        <v>0.9</v>
      </c>
      <c r="BR236" s="117">
        <f t="shared" ca="1" si="1298"/>
        <v>0.9</v>
      </c>
      <c r="BS236" s="117">
        <f t="shared" ca="1" si="1298"/>
        <v>1.3</v>
      </c>
      <c r="BT236" s="117">
        <f t="shared" ca="1" si="1298"/>
        <v>1.3</v>
      </c>
      <c r="BU236" s="117">
        <f t="shared" ca="1" si="1298"/>
        <v>1.3</v>
      </c>
      <c r="BV236" s="278">
        <f t="shared" ca="1" si="1298"/>
        <v>1.3</v>
      </c>
      <c r="BW236" s="280">
        <f t="shared" si="1076"/>
        <v>10</v>
      </c>
      <c r="BX236" s="118">
        <f>IF($AN236="Ya",100%,100%+extraDelayZ)</f>
        <v>1</v>
      </c>
      <c r="BY236" s="263">
        <f t="shared" si="1299"/>
        <v>1</v>
      </c>
      <c r="BZ236" s="264">
        <f t="shared" si="1300"/>
        <v>1</v>
      </c>
      <c r="CA236" s="264">
        <f t="shared" si="1301"/>
        <v>1</v>
      </c>
      <c r="CB236" s="264">
        <f t="shared" si="1302"/>
        <v>1</v>
      </c>
      <c r="CC236" s="264">
        <f t="shared" si="1303"/>
        <v>1</v>
      </c>
      <c r="CD236" s="264">
        <f t="shared" si="1304"/>
        <v>1</v>
      </c>
      <c r="CE236" s="264">
        <f t="shared" si="1305"/>
        <v>1</v>
      </c>
      <c r="CF236" s="264">
        <f t="shared" si="1306"/>
        <v>1</v>
      </c>
      <c r="CG236" s="264">
        <f t="shared" si="1307"/>
        <v>1</v>
      </c>
      <c r="CH236" s="264">
        <f t="shared" si="1308"/>
        <v>1</v>
      </c>
      <c r="CI236" s="264">
        <f t="shared" si="1309"/>
        <v>1</v>
      </c>
      <c r="CJ236" s="265">
        <f t="shared" si="1310"/>
        <v>1</v>
      </c>
      <c r="CK236" s="269">
        <f t="array" ref="CK236">IF(ISERROR(SUM($K236:$V236*$BY236:$CJ236)/SUM($K236:$V236)),1,SUM($K236:$V236*$BY236:$CJ236)/SUM($K236:$V236))-1</f>
        <v>0</v>
      </c>
      <c r="CL236" s="234"/>
    </row>
    <row r="237" spans="1:90" ht="12.75" hidden="1" outlineLevel="1" x14ac:dyDescent="0.2">
      <c r="B237" s="404" t="str">
        <f t="shared" ca="1" si="1278"/>
        <v>Пакет "Футбол 2000К", 240x400 или 300х500</v>
      </c>
      <c r="C237" s="676" t="str">
        <f t="shared" ca="1" si="1279"/>
        <v>Пакет</v>
      </c>
      <c r="D237" s="405">
        <f t="shared" ca="1" si="1280"/>
        <v>190</v>
      </c>
      <c r="E237" s="405">
        <f t="shared" ca="1" si="1281"/>
        <v>190</v>
      </c>
      <c r="F237" s="405">
        <f t="shared" ca="1" si="1282"/>
        <v>190</v>
      </c>
      <c r="G237" s="406">
        <f t="shared" ca="1" si="1283"/>
        <v>380000</v>
      </c>
      <c r="H237" s="406">
        <f t="shared" ca="1" si="1284"/>
        <v>380000</v>
      </c>
      <c r="I237" s="406">
        <f t="shared" ca="1" si="1285"/>
        <v>0</v>
      </c>
      <c r="J237" s="407">
        <f t="shared" ca="1" si="1286"/>
        <v>0</v>
      </c>
      <c r="K237" s="408"/>
      <c r="L237" s="409"/>
      <c r="M237" s="409"/>
      <c r="N237" s="409"/>
      <c r="O237" s="409"/>
      <c r="P237" s="409"/>
      <c r="Q237" s="409"/>
      <c r="R237" s="409"/>
      <c r="S237" s="409"/>
      <c r="T237" s="409"/>
      <c r="U237" s="409"/>
      <c r="V237" s="410"/>
      <c r="W237" s="406">
        <f t="shared" ca="1" si="1060"/>
        <v>0</v>
      </c>
      <c r="X237" s="406"/>
      <c r="Y237" s="411"/>
      <c r="Z237" s="412">
        <f t="shared" si="1287"/>
        <v>0</v>
      </c>
      <c r="AA237" s="413"/>
      <c r="AB237" s="413"/>
      <c r="AC237" s="413"/>
      <c r="AD237" s="413"/>
      <c r="AE237" s="413"/>
      <c r="AF237" s="413"/>
      <c r="AG237" s="413"/>
      <c r="AH237" s="413"/>
      <c r="AI237" s="413"/>
      <c r="AJ237" s="413"/>
      <c r="AK237" s="413"/>
      <c r="AL237" s="413"/>
      <c r="AM237" s="572"/>
      <c r="AN237" s="351" t="s">
        <v>149</v>
      </c>
      <c r="AO237" s="351" t="str">
        <f t="shared" si="1074"/>
        <v>Sports.ru</v>
      </c>
      <c r="AP237" s="115">
        <f t="shared" si="1156"/>
        <v>17</v>
      </c>
      <c r="AQ237" s="31" t="str">
        <f t="shared" ca="1" si="1288"/>
        <v>См.уточнения</v>
      </c>
      <c r="AR237" s="31" t="str">
        <f t="shared" ca="1" si="1288"/>
        <v>См. уточнения</v>
      </c>
      <c r="AS237" s="35">
        <v>0</v>
      </c>
      <c r="AT237" s="229">
        <v>0</v>
      </c>
      <c r="AU237" s="344">
        <f t="shared" ca="1" si="1289"/>
        <v>190</v>
      </c>
      <c r="AV237" s="345">
        <f t="shared" ca="1" si="1290"/>
        <v>190</v>
      </c>
      <c r="AW237" s="346">
        <f t="shared" ca="1" si="1291"/>
        <v>190</v>
      </c>
      <c r="AX237" s="280"/>
      <c r="AY237" s="280"/>
      <c r="AZ237" s="347">
        <f t="shared" ca="1" si="1292"/>
        <v>380000</v>
      </c>
      <c r="BA237" s="348">
        <f t="shared" ca="1" si="1293"/>
        <v>380000</v>
      </c>
      <c r="BB237" s="347">
        <f t="shared" ca="1" si="1294"/>
        <v>2000</v>
      </c>
      <c r="BC237" s="37" t="str">
        <f t="shared" ca="1" si="1294"/>
        <v>Пакет</v>
      </c>
      <c r="BD237" s="229" t="str">
        <f t="shared" ca="1" si="1295"/>
        <v>Пакет</v>
      </c>
      <c r="BE237" s="283">
        <f t="shared" ca="1" si="1075"/>
        <v>0</v>
      </c>
      <c r="BF237" s="347">
        <f t="array" aca="1" ref="BF237" ca="1">SUM($K237:$V237*$BK237:$BV237)*$AZ237</f>
        <v>0</v>
      </c>
      <c r="BG237" s="347">
        <f t="array" aca="1" ref="BG237" ca="1">SUM($K237:$V237*$BY237:$CJ237*$BK237:$BV237)*$AZ237*$BX237</f>
        <v>0</v>
      </c>
      <c r="BH237" s="347">
        <f t="array" aca="1" ref="BH237" ca="1">SUM($K237:$V237*$BY237:$CJ237*$BK237:$BV237)*(1-$BE237)*$AZ237*$BX237</f>
        <v>0</v>
      </c>
      <c r="BI237" s="350">
        <f t="shared" ca="1" si="1296"/>
        <v>0</v>
      </c>
      <c r="BJ237" s="275" t="str">
        <f t="shared" ca="1" si="1297"/>
        <v>Да</v>
      </c>
      <c r="BK237" s="116">
        <f t="shared" ca="1" si="1298"/>
        <v>0.8</v>
      </c>
      <c r="BL237" s="117">
        <f t="shared" ca="1" si="1298"/>
        <v>0.9</v>
      </c>
      <c r="BM237" s="117">
        <f t="shared" ca="1" si="1298"/>
        <v>1</v>
      </c>
      <c r="BN237" s="117">
        <f t="shared" ca="1" si="1298"/>
        <v>1</v>
      </c>
      <c r="BO237" s="117">
        <f t="shared" ca="1" si="1298"/>
        <v>1</v>
      </c>
      <c r="BP237" s="117">
        <f t="shared" ca="1" si="1298"/>
        <v>1</v>
      </c>
      <c r="BQ237" s="117">
        <f t="shared" ca="1" si="1298"/>
        <v>0.9</v>
      </c>
      <c r="BR237" s="117">
        <f t="shared" ca="1" si="1298"/>
        <v>0.9</v>
      </c>
      <c r="BS237" s="117">
        <f t="shared" ca="1" si="1298"/>
        <v>1.3</v>
      </c>
      <c r="BT237" s="117">
        <f t="shared" ca="1" si="1298"/>
        <v>1.3</v>
      </c>
      <c r="BU237" s="117">
        <f t="shared" ca="1" si="1298"/>
        <v>1.3</v>
      </c>
      <c r="BV237" s="278">
        <f t="shared" ca="1" si="1298"/>
        <v>1.3</v>
      </c>
      <c r="BW237" s="280">
        <f t="shared" si="1076"/>
        <v>11</v>
      </c>
      <c r="BX237" s="118">
        <f>IF($AN237="Ya",100%,100%+extraDelayZ)</f>
        <v>1</v>
      </c>
      <c r="BY237" s="263">
        <f t="shared" si="1299"/>
        <v>1</v>
      </c>
      <c r="BZ237" s="264">
        <f t="shared" si="1300"/>
        <v>1</v>
      </c>
      <c r="CA237" s="264">
        <f t="shared" si="1301"/>
        <v>1</v>
      </c>
      <c r="CB237" s="264">
        <f t="shared" si="1302"/>
        <v>1</v>
      </c>
      <c r="CC237" s="264">
        <f t="shared" si="1303"/>
        <v>1</v>
      </c>
      <c r="CD237" s="264">
        <f t="shared" si="1304"/>
        <v>1</v>
      </c>
      <c r="CE237" s="264">
        <f t="shared" si="1305"/>
        <v>1</v>
      </c>
      <c r="CF237" s="264">
        <f t="shared" si="1306"/>
        <v>1</v>
      </c>
      <c r="CG237" s="264">
        <f t="shared" si="1307"/>
        <v>1</v>
      </c>
      <c r="CH237" s="264">
        <f t="shared" si="1308"/>
        <v>1</v>
      </c>
      <c r="CI237" s="264">
        <f t="shared" si="1309"/>
        <v>1</v>
      </c>
      <c r="CJ237" s="265">
        <f t="shared" si="1310"/>
        <v>1</v>
      </c>
      <c r="CK237" s="269">
        <f t="array" ref="CK237">IF(ISERROR(SUM($K237:$V237*$BY237:$CJ237)/SUM($K237:$V237)),1,SUM($K237:$V237*$BY237:$CJ237)/SUM($K237:$V237))-1</f>
        <v>0</v>
      </c>
      <c r="CL237" s="234"/>
    </row>
    <row r="238" spans="1:90" ht="12.75" hidden="1" outlineLevel="1" x14ac:dyDescent="0.2">
      <c r="B238" s="404" t="str">
        <f t="shared" ca="1" si="1278"/>
        <v>Пакет "Охват 2000K", 460х200</v>
      </c>
      <c r="C238" s="676" t="str">
        <f t="shared" ca="1" si="1279"/>
        <v>Пакет</v>
      </c>
      <c r="D238" s="405">
        <f t="shared" ca="1" si="1280"/>
        <v>150</v>
      </c>
      <c r="E238" s="405">
        <f t="shared" ca="1" si="1281"/>
        <v>150</v>
      </c>
      <c r="F238" s="405">
        <f t="shared" ca="1" si="1282"/>
        <v>150</v>
      </c>
      <c r="G238" s="406">
        <f t="shared" ca="1" si="1283"/>
        <v>300000</v>
      </c>
      <c r="H238" s="406">
        <f t="shared" ca="1" si="1284"/>
        <v>300000</v>
      </c>
      <c r="I238" s="406">
        <f t="shared" ca="1" si="1285"/>
        <v>0</v>
      </c>
      <c r="J238" s="407">
        <f t="shared" ca="1" si="1286"/>
        <v>0</v>
      </c>
      <c r="K238" s="408"/>
      <c r="L238" s="409"/>
      <c r="M238" s="409"/>
      <c r="N238" s="409"/>
      <c r="O238" s="409"/>
      <c r="P238" s="409"/>
      <c r="Q238" s="409"/>
      <c r="R238" s="409"/>
      <c r="S238" s="409"/>
      <c r="T238" s="409"/>
      <c r="U238" s="409"/>
      <c r="V238" s="410"/>
      <c r="W238" s="406">
        <f t="shared" ca="1" si="1060"/>
        <v>0</v>
      </c>
      <c r="X238" s="406"/>
      <c r="Y238" s="411"/>
      <c r="Z238" s="412">
        <f t="shared" si="1287"/>
        <v>0</v>
      </c>
      <c r="AA238" s="413"/>
      <c r="AB238" s="413"/>
      <c r="AC238" s="413"/>
      <c r="AD238" s="413"/>
      <c r="AE238" s="413"/>
      <c r="AF238" s="413"/>
      <c r="AG238" s="413"/>
      <c r="AH238" s="413"/>
      <c r="AI238" s="413"/>
      <c r="AJ238" s="413"/>
      <c r="AK238" s="413"/>
      <c r="AL238" s="413"/>
      <c r="AM238" s="572"/>
      <c r="AN238" s="351" t="s">
        <v>149</v>
      </c>
      <c r="AO238" s="351" t="str">
        <f t="shared" si="1074"/>
        <v>Sports.ru</v>
      </c>
      <c r="AP238" s="115">
        <f t="shared" si="1156"/>
        <v>17</v>
      </c>
      <c r="AQ238" s="31" t="str">
        <f t="shared" ca="1" si="1288"/>
        <v>См.уточнения</v>
      </c>
      <c r="AR238" s="31" t="str">
        <f t="shared" ca="1" si="1288"/>
        <v>См. уточнения</v>
      </c>
      <c r="AS238" s="35">
        <v>0</v>
      </c>
      <c r="AT238" s="229">
        <v>0</v>
      </c>
      <c r="AU238" s="344">
        <f t="shared" ca="1" si="1289"/>
        <v>150</v>
      </c>
      <c r="AV238" s="345">
        <f t="shared" ca="1" si="1290"/>
        <v>150</v>
      </c>
      <c r="AW238" s="346">
        <f t="shared" ca="1" si="1291"/>
        <v>150</v>
      </c>
      <c r="AX238" s="280"/>
      <c r="AY238" s="280"/>
      <c r="AZ238" s="347">
        <f t="shared" ca="1" si="1292"/>
        <v>300000</v>
      </c>
      <c r="BA238" s="348">
        <f t="shared" ca="1" si="1293"/>
        <v>300000</v>
      </c>
      <c r="BB238" s="347">
        <f t="shared" ca="1" si="1294"/>
        <v>2000</v>
      </c>
      <c r="BC238" s="37" t="str">
        <f t="shared" ca="1" si="1294"/>
        <v>Пакет</v>
      </c>
      <c r="BD238" s="229" t="str">
        <f t="shared" ca="1" si="1295"/>
        <v>Пакет</v>
      </c>
      <c r="BE238" s="283">
        <f t="shared" ca="1" si="1075"/>
        <v>0</v>
      </c>
      <c r="BF238" s="347">
        <f t="array" aca="1" ref="BF238" ca="1">SUM($K238:$V238*$BK238:$BV238)*$AZ238</f>
        <v>0</v>
      </c>
      <c r="BG238" s="347">
        <f t="array" aca="1" ref="BG238" ca="1">SUM($K238:$V238*$BY238:$CJ238*$BK238:$BV238)*$AZ238*$BX238</f>
        <v>0</v>
      </c>
      <c r="BH238" s="347">
        <f t="array" aca="1" ref="BH238" ca="1">SUM($K238:$V238*$BY238:$CJ238*$BK238:$BV238)*(1-$BE238)*$AZ238*$BX238</f>
        <v>0</v>
      </c>
      <c r="BI238" s="350">
        <f t="shared" ca="1" si="1296"/>
        <v>0</v>
      </c>
      <c r="BJ238" s="275" t="str">
        <f t="shared" ca="1" si="1297"/>
        <v>Да</v>
      </c>
      <c r="BK238" s="116">
        <f t="shared" ca="1" si="1298"/>
        <v>0.8</v>
      </c>
      <c r="BL238" s="117">
        <f t="shared" ca="1" si="1298"/>
        <v>0.9</v>
      </c>
      <c r="BM238" s="117">
        <f t="shared" ca="1" si="1298"/>
        <v>1</v>
      </c>
      <c r="BN238" s="117">
        <f t="shared" ca="1" si="1298"/>
        <v>1</v>
      </c>
      <c r="BO238" s="117">
        <f t="shared" ca="1" si="1298"/>
        <v>1</v>
      </c>
      <c r="BP238" s="117">
        <f t="shared" ca="1" si="1298"/>
        <v>1</v>
      </c>
      <c r="BQ238" s="117">
        <f t="shared" ca="1" si="1298"/>
        <v>0.9</v>
      </c>
      <c r="BR238" s="117">
        <f t="shared" ca="1" si="1298"/>
        <v>0.9</v>
      </c>
      <c r="BS238" s="117">
        <f t="shared" ca="1" si="1298"/>
        <v>1.3</v>
      </c>
      <c r="BT238" s="117">
        <f t="shared" ca="1" si="1298"/>
        <v>1.3</v>
      </c>
      <c r="BU238" s="117">
        <f t="shared" ca="1" si="1298"/>
        <v>1.3</v>
      </c>
      <c r="BV238" s="278">
        <f t="shared" ca="1" si="1298"/>
        <v>1.3</v>
      </c>
      <c r="BW238" s="280">
        <f t="shared" si="1076"/>
        <v>12</v>
      </c>
      <c r="BX238" s="118">
        <f>IF($AN238="Ya",100%,100%+extraDelayZ)</f>
        <v>1</v>
      </c>
      <c r="BY238" s="263">
        <f t="shared" si="1299"/>
        <v>1</v>
      </c>
      <c r="BZ238" s="264">
        <f t="shared" si="1300"/>
        <v>1</v>
      </c>
      <c r="CA238" s="264">
        <f t="shared" si="1301"/>
        <v>1</v>
      </c>
      <c r="CB238" s="264">
        <f t="shared" si="1302"/>
        <v>1</v>
      </c>
      <c r="CC238" s="264">
        <f t="shared" si="1303"/>
        <v>1</v>
      </c>
      <c r="CD238" s="264">
        <f t="shared" si="1304"/>
        <v>1</v>
      </c>
      <c r="CE238" s="264">
        <f t="shared" si="1305"/>
        <v>1</v>
      </c>
      <c r="CF238" s="264">
        <f t="shared" si="1306"/>
        <v>1</v>
      </c>
      <c r="CG238" s="264">
        <f t="shared" si="1307"/>
        <v>1</v>
      </c>
      <c r="CH238" s="264">
        <f t="shared" si="1308"/>
        <v>1</v>
      </c>
      <c r="CI238" s="264">
        <f t="shared" si="1309"/>
        <v>1</v>
      </c>
      <c r="CJ238" s="265">
        <f t="shared" si="1310"/>
        <v>1</v>
      </c>
      <c r="CK238" s="269">
        <f t="array" ref="CK238">IF(ISERROR(SUM($K238:$V238*$BY238:$CJ238)/SUM($K238:$V238)),1,SUM($K238:$V238*$BY238:$CJ238)/SUM($K238:$V238))-1</f>
        <v>0</v>
      </c>
      <c r="CL238" s="234"/>
    </row>
    <row r="239" spans="1:90" ht="12.75" hidden="1" outlineLevel="1" x14ac:dyDescent="0.2">
      <c r="B239" s="404" t="str">
        <f t="shared" ca="1" si="1278"/>
        <v>Динамика, заказ от 2,1 до 4,9М, 460х200</v>
      </c>
      <c r="C239" s="676" t="str">
        <f t="shared" ca="1" si="1279"/>
        <v>х1000</v>
      </c>
      <c r="D239" s="405">
        <f t="shared" ca="1" si="1280"/>
        <v>150</v>
      </c>
      <c r="E239" s="405">
        <f t="shared" ca="1" si="1281"/>
        <v>150</v>
      </c>
      <c r="F239" s="405">
        <f t="shared" ca="1" si="1282"/>
        <v>150</v>
      </c>
      <c r="G239" s="406">
        <f t="shared" ca="1" si="1283"/>
        <v>150</v>
      </c>
      <c r="H239" s="406">
        <f t="shared" ca="1" si="1284"/>
        <v>150</v>
      </c>
      <c r="I239" s="406">
        <f t="shared" ca="1" si="1285"/>
        <v>0</v>
      </c>
      <c r="J239" s="407">
        <f t="shared" ca="1" si="1286"/>
        <v>0</v>
      </c>
      <c r="K239" s="408"/>
      <c r="L239" s="409"/>
      <c r="M239" s="409"/>
      <c r="N239" s="409"/>
      <c r="O239" s="409"/>
      <c r="P239" s="409"/>
      <c r="Q239" s="409"/>
      <c r="R239" s="409"/>
      <c r="S239" s="409"/>
      <c r="T239" s="409"/>
      <c r="U239" s="409"/>
      <c r="V239" s="410"/>
      <c r="W239" s="406">
        <f t="shared" ca="1" si="1060"/>
        <v>0</v>
      </c>
      <c r="X239" s="406"/>
      <c r="Y239" s="411"/>
      <c r="Z239" s="412">
        <f t="shared" si="1287"/>
        <v>0</v>
      </c>
      <c r="AA239" s="413"/>
      <c r="AB239" s="413"/>
      <c r="AC239" s="413"/>
      <c r="AD239" s="413"/>
      <c r="AE239" s="413"/>
      <c r="AF239" s="413"/>
      <c r="AG239" s="413"/>
      <c r="AH239" s="413"/>
      <c r="AI239" s="413"/>
      <c r="AJ239" s="413"/>
      <c r="AK239" s="413"/>
      <c r="AL239" s="413"/>
      <c r="AM239" s="572"/>
      <c r="AN239" s="351" t="s">
        <v>149</v>
      </c>
      <c r="AO239" s="351" t="str">
        <f t="shared" si="1074"/>
        <v>Sports.ru</v>
      </c>
      <c r="AP239" s="115">
        <f t="shared" si="1156"/>
        <v>17</v>
      </c>
      <c r="AQ239" s="31" t="str">
        <f t="shared" ca="1" si="1288"/>
        <v>См.уточнения</v>
      </c>
      <c r="AR239" s="31" t="str">
        <f t="shared" ca="1" si="1288"/>
        <v>См. уточнения</v>
      </c>
      <c r="AS239" s="35">
        <v>0</v>
      </c>
      <c r="AT239" s="229">
        <v>0</v>
      </c>
      <c r="AU239" s="344">
        <f t="shared" ca="1" si="1289"/>
        <v>150</v>
      </c>
      <c r="AV239" s="345">
        <f t="shared" ca="1" si="1290"/>
        <v>150</v>
      </c>
      <c r="AW239" s="346">
        <f t="shared" ca="1" si="1291"/>
        <v>150</v>
      </c>
      <c r="AX239" s="280"/>
      <c r="AY239" s="280"/>
      <c r="AZ239" s="347">
        <f t="shared" ca="1" si="1292"/>
        <v>150</v>
      </c>
      <c r="BA239" s="348">
        <f t="shared" ca="1" si="1293"/>
        <v>150</v>
      </c>
      <c r="BB239" s="347">
        <f t="shared" ca="1" si="1294"/>
        <v>1</v>
      </c>
      <c r="BC239" s="37" t="str">
        <f t="shared" ca="1" si="1294"/>
        <v>1000 контактов</v>
      </c>
      <c r="BD239" s="229" t="str">
        <f t="shared" ca="1" si="1295"/>
        <v>х1000</v>
      </c>
      <c r="BE239" s="283">
        <f t="shared" ca="1" si="1075"/>
        <v>0</v>
      </c>
      <c r="BF239" s="347">
        <f t="array" aca="1" ref="BF239" ca="1">SUM($K239:$V239*$BK239:$BV239)*$AZ239</f>
        <v>0</v>
      </c>
      <c r="BG239" s="347">
        <f t="array" aca="1" ref="BG239" ca="1">SUM($K239:$V239*$BY239:$CJ239*$BK239:$BV239)*$AZ239*$BX239</f>
        <v>0</v>
      </c>
      <c r="BH239" s="347">
        <f t="array" aca="1" ref="BH239" ca="1">SUM($K239:$V239*$BY239:$CJ239*$BK239:$BV239)*(1-$BE239)*$AZ239*$BX239</f>
        <v>0</v>
      </c>
      <c r="BI239" s="350">
        <f t="shared" ca="1" si="1296"/>
        <v>0</v>
      </c>
      <c r="BJ239" s="275" t="str">
        <f t="shared" ca="1" si="1297"/>
        <v>Да</v>
      </c>
      <c r="BK239" s="116">
        <f t="shared" ca="1" si="1298"/>
        <v>0.8</v>
      </c>
      <c r="BL239" s="117">
        <f t="shared" ca="1" si="1298"/>
        <v>0.9</v>
      </c>
      <c r="BM239" s="117">
        <f t="shared" ca="1" si="1298"/>
        <v>1</v>
      </c>
      <c r="BN239" s="117">
        <f t="shared" ca="1" si="1298"/>
        <v>1</v>
      </c>
      <c r="BO239" s="117">
        <f t="shared" ca="1" si="1298"/>
        <v>1</v>
      </c>
      <c r="BP239" s="117">
        <f t="shared" ca="1" si="1298"/>
        <v>1</v>
      </c>
      <c r="BQ239" s="117">
        <f t="shared" ca="1" si="1298"/>
        <v>0.9</v>
      </c>
      <c r="BR239" s="117">
        <f t="shared" ca="1" si="1298"/>
        <v>0.9</v>
      </c>
      <c r="BS239" s="117">
        <f t="shared" ca="1" si="1298"/>
        <v>1.3</v>
      </c>
      <c r="BT239" s="117">
        <f t="shared" ca="1" si="1298"/>
        <v>1.3</v>
      </c>
      <c r="BU239" s="117">
        <f t="shared" ca="1" si="1298"/>
        <v>1.3</v>
      </c>
      <c r="BV239" s="278">
        <f t="shared" ca="1" si="1298"/>
        <v>1.3</v>
      </c>
      <c r="BW239" s="280">
        <f t="shared" si="1076"/>
        <v>13</v>
      </c>
      <c r="BX239" s="118">
        <f>IF($AN239="Ya",100%,100%+extraDelayZ)</f>
        <v>1</v>
      </c>
      <c r="BY239" s="263">
        <f t="shared" si="1299"/>
        <v>1</v>
      </c>
      <c r="BZ239" s="264">
        <f t="shared" si="1300"/>
        <v>1</v>
      </c>
      <c r="CA239" s="264">
        <f t="shared" si="1301"/>
        <v>1</v>
      </c>
      <c r="CB239" s="264">
        <f t="shared" si="1302"/>
        <v>1</v>
      </c>
      <c r="CC239" s="264">
        <f t="shared" si="1303"/>
        <v>1</v>
      </c>
      <c r="CD239" s="264">
        <f t="shared" si="1304"/>
        <v>1</v>
      </c>
      <c r="CE239" s="264">
        <f t="shared" si="1305"/>
        <v>1</v>
      </c>
      <c r="CF239" s="264">
        <f t="shared" si="1306"/>
        <v>1</v>
      </c>
      <c r="CG239" s="264">
        <f t="shared" si="1307"/>
        <v>1</v>
      </c>
      <c r="CH239" s="264">
        <f t="shared" si="1308"/>
        <v>1</v>
      </c>
      <c r="CI239" s="264">
        <f t="shared" si="1309"/>
        <v>1</v>
      </c>
      <c r="CJ239" s="265">
        <f t="shared" si="1310"/>
        <v>1</v>
      </c>
      <c r="CK239" s="269">
        <f t="array" ref="CK239">IF(ISERROR(SUM($K239:$V239*$BY239:$CJ239)/SUM($K239:$V239)),1,SUM($K239:$V239*$BY239:$CJ239)/SUM($K239:$V239))-1</f>
        <v>0</v>
      </c>
      <c r="CL239" s="234"/>
    </row>
    <row r="240" spans="1:90" ht="12.75" hidden="1" outlineLevel="1" x14ac:dyDescent="0.2">
      <c r="B240" s="404" t="str">
        <f t="shared" ca="1" si="1278"/>
        <v>Пакет "Охват 5000K", 460х200</v>
      </c>
      <c r="C240" s="676" t="str">
        <f t="shared" ca="1" si="1279"/>
        <v>Пакет</v>
      </c>
      <c r="D240" s="405">
        <f t="shared" ca="1" si="1280"/>
        <v>120</v>
      </c>
      <c r="E240" s="405">
        <f t="shared" ca="1" si="1281"/>
        <v>120</v>
      </c>
      <c r="F240" s="405">
        <f t="shared" ca="1" si="1282"/>
        <v>120</v>
      </c>
      <c r="G240" s="406">
        <f t="shared" ca="1" si="1283"/>
        <v>600000</v>
      </c>
      <c r="H240" s="406">
        <f t="shared" ca="1" si="1284"/>
        <v>600000</v>
      </c>
      <c r="I240" s="406">
        <f t="shared" ca="1" si="1285"/>
        <v>0</v>
      </c>
      <c r="J240" s="407">
        <f t="shared" ca="1" si="1286"/>
        <v>0</v>
      </c>
      <c r="K240" s="408"/>
      <c r="L240" s="409"/>
      <c r="M240" s="409"/>
      <c r="N240" s="409"/>
      <c r="O240" s="409"/>
      <c r="P240" s="409"/>
      <c r="Q240" s="409"/>
      <c r="R240" s="409"/>
      <c r="S240" s="409"/>
      <c r="T240" s="409"/>
      <c r="U240" s="409"/>
      <c r="V240" s="410"/>
      <c r="W240" s="406">
        <f t="shared" ca="1" si="1060"/>
        <v>0</v>
      </c>
      <c r="X240" s="406"/>
      <c r="Y240" s="411"/>
      <c r="Z240" s="412">
        <f t="shared" si="1287"/>
        <v>0</v>
      </c>
      <c r="AA240" s="413"/>
      <c r="AB240" s="413"/>
      <c r="AC240" s="413"/>
      <c r="AD240" s="413"/>
      <c r="AE240" s="413"/>
      <c r="AF240" s="413"/>
      <c r="AG240" s="413"/>
      <c r="AH240" s="413"/>
      <c r="AI240" s="413"/>
      <c r="AJ240" s="413"/>
      <c r="AK240" s="413"/>
      <c r="AL240" s="413"/>
      <c r="AM240" s="572"/>
      <c r="AN240" s="351" t="s">
        <v>149</v>
      </c>
      <c r="AO240" s="351" t="str">
        <f t="shared" si="1074"/>
        <v>Sports.ru</v>
      </c>
      <c r="AP240" s="115">
        <f t="shared" si="1156"/>
        <v>17</v>
      </c>
      <c r="AQ240" s="31" t="str">
        <f t="shared" ca="1" si="1288"/>
        <v>См.уточнения</v>
      </c>
      <c r="AR240" s="31" t="str">
        <f t="shared" ca="1" si="1288"/>
        <v>См. уточнения</v>
      </c>
      <c r="AS240" s="35">
        <v>0</v>
      </c>
      <c r="AT240" s="229">
        <v>0</v>
      </c>
      <c r="AU240" s="344">
        <f t="shared" ca="1" si="1289"/>
        <v>120</v>
      </c>
      <c r="AV240" s="345">
        <f t="shared" ca="1" si="1290"/>
        <v>120</v>
      </c>
      <c r="AW240" s="346">
        <f t="shared" ca="1" si="1291"/>
        <v>120</v>
      </c>
      <c r="AX240" s="280"/>
      <c r="AY240" s="280"/>
      <c r="AZ240" s="347">
        <f t="shared" ca="1" si="1292"/>
        <v>600000</v>
      </c>
      <c r="BA240" s="348">
        <f t="shared" ca="1" si="1293"/>
        <v>600000</v>
      </c>
      <c r="BB240" s="347">
        <f t="shared" ca="1" si="1294"/>
        <v>5000</v>
      </c>
      <c r="BC240" s="37" t="str">
        <f t="shared" ca="1" si="1294"/>
        <v>Пакет</v>
      </c>
      <c r="BD240" s="229" t="str">
        <f t="shared" ca="1" si="1295"/>
        <v>Пакет</v>
      </c>
      <c r="BE240" s="283">
        <f t="shared" ca="1" si="1075"/>
        <v>0</v>
      </c>
      <c r="BF240" s="347">
        <f t="array" aca="1" ref="BF240" ca="1">SUM($K240:$V240*$BK240:$BV240)*$AZ240</f>
        <v>0</v>
      </c>
      <c r="BG240" s="347">
        <f t="array" aca="1" ref="BG240" ca="1">SUM($K240:$V240*$BY240:$CJ240*$BK240:$BV240)*$AZ240*$BX240</f>
        <v>0</v>
      </c>
      <c r="BH240" s="347">
        <f t="array" aca="1" ref="BH240" ca="1">SUM($K240:$V240*$BY240:$CJ240*$BK240:$BV240)*(1-$BE240)*$AZ240*$BX240</f>
        <v>0</v>
      </c>
      <c r="BI240" s="350">
        <f t="shared" ca="1" si="1296"/>
        <v>0</v>
      </c>
      <c r="BJ240" s="275" t="str">
        <f t="shared" ca="1" si="1297"/>
        <v>Да</v>
      </c>
      <c r="BK240" s="116">
        <f t="shared" ca="1" si="1298"/>
        <v>0.8</v>
      </c>
      <c r="BL240" s="117">
        <f t="shared" ca="1" si="1298"/>
        <v>0.9</v>
      </c>
      <c r="BM240" s="117">
        <f t="shared" ca="1" si="1298"/>
        <v>1</v>
      </c>
      <c r="BN240" s="117">
        <f t="shared" ca="1" si="1298"/>
        <v>1</v>
      </c>
      <c r="BO240" s="117">
        <f t="shared" ca="1" si="1298"/>
        <v>1</v>
      </c>
      <c r="BP240" s="117">
        <f t="shared" ca="1" si="1298"/>
        <v>1</v>
      </c>
      <c r="BQ240" s="117">
        <f t="shared" ca="1" si="1298"/>
        <v>0.9</v>
      </c>
      <c r="BR240" s="117">
        <f t="shared" ca="1" si="1298"/>
        <v>0.9</v>
      </c>
      <c r="BS240" s="117">
        <f t="shared" ca="1" si="1298"/>
        <v>1.3</v>
      </c>
      <c r="BT240" s="117">
        <f t="shared" ca="1" si="1298"/>
        <v>1.3</v>
      </c>
      <c r="BU240" s="117">
        <f t="shared" ca="1" si="1298"/>
        <v>1.3</v>
      </c>
      <c r="BV240" s="278">
        <f t="shared" ca="1" si="1298"/>
        <v>1.3</v>
      </c>
      <c r="BW240" s="280">
        <f t="shared" si="1076"/>
        <v>14</v>
      </c>
      <c r="BX240" s="118">
        <f>IF($AN240="Ya",100%,100%+extraDelayZ)</f>
        <v>1</v>
      </c>
      <c r="BY240" s="263">
        <f t="shared" si="1299"/>
        <v>1</v>
      </c>
      <c r="BZ240" s="264">
        <f t="shared" si="1300"/>
        <v>1</v>
      </c>
      <c r="CA240" s="264">
        <f t="shared" si="1301"/>
        <v>1</v>
      </c>
      <c r="CB240" s="264">
        <f t="shared" si="1302"/>
        <v>1</v>
      </c>
      <c r="CC240" s="264">
        <f t="shared" si="1303"/>
        <v>1</v>
      </c>
      <c r="CD240" s="264">
        <f t="shared" si="1304"/>
        <v>1</v>
      </c>
      <c r="CE240" s="264">
        <f t="shared" si="1305"/>
        <v>1</v>
      </c>
      <c r="CF240" s="264">
        <f t="shared" si="1306"/>
        <v>1</v>
      </c>
      <c r="CG240" s="264">
        <f t="shared" si="1307"/>
        <v>1</v>
      </c>
      <c r="CH240" s="264">
        <f t="shared" si="1308"/>
        <v>1</v>
      </c>
      <c r="CI240" s="264">
        <f t="shared" si="1309"/>
        <v>1</v>
      </c>
      <c r="CJ240" s="265">
        <f t="shared" si="1310"/>
        <v>1</v>
      </c>
      <c r="CK240" s="269">
        <f t="array" ref="CK240">IF(ISERROR(SUM($K240:$V240*$BY240:$CJ240)/SUM($K240:$V240)),1,SUM($K240:$V240*$BY240:$CJ240)/SUM($K240:$V240))-1</f>
        <v>0</v>
      </c>
      <c r="CL240" s="234"/>
    </row>
    <row r="241" spans="1:90" ht="12.75" hidden="1" outlineLevel="1" x14ac:dyDescent="0.2">
      <c r="B241" s="404" t="str">
        <f t="shared" ca="1" si="1278"/>
        <v>Пакет "Охват 8000K", 460х200</v>
      </c>
      <c r="C241" s="676" t="str">
        <f t="shared" ca="1" si="1279"/>
        <v>Пакет</v>
      </c>
      <c r="D241" s="405">
        <f t="shared" ca="1" si="1280"/>
        <v>100</v>
      </c>
      <c r="E241" s="405">
        <f t="shared" ca="1" si="1281"/>
        <v>100</v>
      </c>
      <c r="F241" s="405">
        <f t="shared" ca="1" si="1282"/>
        <v>100</v>
      </c>
      <c r="G241" s="406">
        <f t="shared" ca="1" si="1283"/>
        <v>800000</v>
      </c>
      <c r="H241" s="406">
        <f t="shared" ca="1" si="1284"/>
        <v>800000</v>
      </c>
      <c r="I241" s="406">
        <f t="shared" ca="1" si="1285"/>
        <v>0</v>
      </c>
      <c r="J241" s="407">
        <f t="shared" ca="1" si="1286"/>
        <v>0</v>
      </c>
      <c r="K241" s="408"/>
      <c r="L241" s="409"/>
      <c r="M241" s="409"/>
      <c r="N241" s="409"/>
      <c r="O241" s="409"/>
      <c r="P241" s="409"/>
      <c r="Q241" s="409"/>
      <c r="R241" s="409"/>
      <c r="S241" s="409"/>
      <c r="T241" s="409"/>
      <c r="U241" s="409"/>
      <c r="V241" s="410"/>
      <c r="W241" s="406">
        <f t="shared" ca="1" si="1060"/>
        <v>0</v>
      </c>
      <c r="X241" s="406"/>
      <c r="Y241" s="411"/>
      <c r="Z241" s="412">
        <f t="shared" si="1287"/>
        <v>0</v>
      </c>
      <c r="AA241" s="413"/>
      <c r="AB241" s="413"/>
      <c r="AC241" s="413"/>
      <c r="AD241" s="413"/>
      <c r="AE241" s="413"/>
      <c r="AF241" s="413"/>
      <c r="AG241" s="413"/>
      <c r="AH241" s="413"/>
      <c r="AI241" s="413"/>
      <c r="AJ241" s="413"/>
      <c r="AK241" s="413"/>
      <c r="AL241" s="413"/>
      <c r="AM241" s="572"/>
      <c r="AN241" s="351" t="s">
        <v>149</v>
      </c>
      <c r="AO241" s="351" t="str">
        <f t="shared" si="1074"/>
        <v>Sports.ru</v>
      </c>
      <c r="AP241" s="115">
        <f t="shared" si="1156"/>
        <v>17</v>
      </c>
      <c r="AQ241" s="31" t="str">
        <f t="shared" ca="1" si="1288"/>
        <v>См.уточнения</v>
      </c>
      <c r="AR241" s="31" t="str">
        <f t="shared" ca="1" si="1288"/>
        <v>См. уточнения</v>
      </c>
      <c r="AS241" s="35">
        <v>0</v>
      </c>
      <c r="AT241" s="229">
        <v>0</v>
      </c>
      <c r="AU241" s="344">
        <f t="shared" ca="1" si="1289"/>
        <v>100</v>
      </c>
      <c r="AV241" s="345">
        <f t="shared" ca="1" si="1290"/>
        <v>100</v>
      </c>
      <c r="AW241" s="346">
        <f t="shared" ca="1" si="1291"/>
        <v>100</v>
      </c>
      <c r="AX241" s="280"/>
      <c r="AY241" s="280"/>
      <c r="AZ241" s="347">
        <f t="shared" ca="1" si="1292"/>
        <v>800000</v>
      </c>
      <c r="BA241" s="348">
        <f t="shared" ca="1" si="1293"/>
        <v>800000</v>
      </c>
      <c r="BB241" s="347">
        <f t="shared" ca="1" si="1294"/>
        <v>8000</v>
      </c>
      <c r="BC241" s="37" t="str">
        <f t="shared" ca="1" si="1294"/>
        <v>Пакет</v>
      </c>
      <c r="BD241" s="229" t="str">
        <f t="shared" ca="1" si="1295"/>
        <v>Пакет</v>
      </c>
      <c r="BE241" s="283">
        <f t="shared" ca="1" si="1075"/>
        <v>0</v>
      </c>
      <c r="BF241" s="347">
        <f t="array" aca="1" ref="BF241" ca="1">SUM($K241:$V241*$BK241:$BV241)*$AZ241</f>
        <v>0</v>
      </c>
      <c r="BG241" s="347">
        <f t="array" aca="1" ref="BG241" ca="1">SUM($K241:$V241*$BY241:$CJ241*$BK241:$BV241)*$AZ241*$BX241</f>
        <v>0</v>
      </c>
      <c r="BH241" s="347">
        <f t="array" aca="1" ref="BH241" ca="1">SUM($K241:$V241*$BY241:$CJ241*$BK241:$BV241)*(1-$BE241)*$AZ241*$BX241</f>
        <v>0</v>
      </c>
      <c r="BI241" s="350">
        <f t="shared" ca="1" si="1296"/>
        <v>0</v>
      </c>
      <c r="BJ241" s="275" t="str">
        <f t="shared" ca="1" si="1297"/>
        <v>Да</v>
      </c>
      <c r="BK241" s="116">
        <f t="shared" ca="1" si="1298"/>
        <v>0.8</v>
      </c>
      <c r="BL241" s="117">
        <f t="shared" ca="1" si="1298"/>
        <v>0.9</v>
      </c>
      <c r="BM241" s="117">
        <f t="shared" ca="1" si="1298"/>
        <v>1</v>
      </c>
      <c r="BN241" s="117">
        <f t="shared" ca="1" si="1298"/>
        <v>1</v>
      </c>
      <c r="BO241" s="117">
        <f t="shared" ca="1" si="1298"/>
        <v>1</v>
      </c>
      <c r="BP241" s="117">
        <f t="shared" ca="1" si="1298"/>
        <v>1</v>
      </c>
      <c r="BQ241" s="117">
        <f t="shared" ca="1" si="1298"/>
        <v>0.9</v>
      </c>
      <c r="BR241" s="117">
        <f t="shared" ca="1" si="1298"/>
        <v>0.9</v>
      </c>
      <c r="BS241" s="117">
        <f t="shared" ca="1" si="1298"/>
        <v>1.3</v>
      </c>
      <c r="BT241" s="117">
        <f t="shared" ca="1" si="1298"/>
        <v>1.3</v>
      </c>
      <c r="BU241" s="117">
        <f t="shared" ca="1" si="1298"/>
        <v>1.3</v>
      </c>
      <c r="BV241" s="278">
        <f t="shared" ca="1" si="1298"/>
        <v>1.3</v>
      </c>
      <c r="BW241" s="280">
        <f t="shared" si="1076"/>
        <v>15</v>
      </c>
      <c r="BX241" s="118">
        <f>IF($AN241="Ya",100%,100%+extraDelayZ)</f>
        <v>1</v>
      </c>
      <c r="BY241" s="263">
        <f t="shared" si="1299"/>
        <v>1</v>
      </c>
      <c r="BZ241" s="264">
        <f t="shared" si="1300"/>
        <v>1</v>
      </c>
      <c r="CA241" s="264">
        <f t="shared" si="1301"/>
        <v>1</v>
      </c>
      <c r="CB241" s="264">
        <f t="shared" si="1302"/>
        <v>1</v>
      </c>
      <c r="CC241" s="264">
        <f t="shared" si="1303"/>
        <v>1</v>
      </c>
      <c r="CD241" s="264">
        <f t="shared" si="1304"/>
        <v>1</v>
      </c>
      <c r="CE241" s="264">
        <f t="shared" si="1305"/>
        <v>1</v>
      </c>
      <c r="CF241" s="264">
        <f t="shared" si="1306"/>
        <v>1</v>
      </c>
      <c r="CG241" s="264">
        <f t="shared" si="1307"/>
        <v>1</v>
      </c>
      <c r="CH241" s="264">
        <f t="shared" si="1308"/>
        <v>1</v>
      </c>
      <c r="CI241" s="264">
        <f t="shared" si="1309"/>
        <v>1</v>
      </c>
      <c r="CJ241" s="265">
        <f t="shared" si="1310"/>
        <v>1</v>
      </c>
      <c r="CK241" s="269">
        <f t="array" ref="CK241">IF(ISERROR(SUM($K241:$V241*$BY241:$CJ241)/SUM($K241:$V241)),1,SUM($K241:$V241*$BY241:$CJ241)/SUM($K241:$V241))-1</f>
        <v>0</v>
      </c>
      <c r="CL241" s="234"/>
    </row>
    <row r="242" spans="1:90" ht="12.75" hidden="1" outlineLevel="1" x14ac:dyDescent="0.2">
      <c r="B242" s="404" t="str">
        <f t="shared" ca="1" si="1278"/>
        <v>FullScreen, F=1 в неделю</v>
      </c>
      <c r="C242" s="676" t="str">
        <f t="shared" ca="1" si="1279"/>
        <v>х1000</v>
      </c>
      <c r="D242" s="405">
        <f t="shared" ca="1" si="1280"/>
        <v>2000</v>
      </c>
      <c r="E242" s="405">
        <f t="shared" ca="1" si="1281"/>
        <v>2000</v>
      </c>
      <c r="F242" s="405">
        <f t="shared" ca="1" si="1282"/>
        <v>2000</v>
      </c>
      <c r="G242" s="406">
        <f t="shared" ca="1" si="1283"/>
        <v>2000</v>
      </c>
      <c r="H242" s="406">
        <f t="shared" ca="1" si="1284"/>
        <v>2000</v>
      </c>
      <c r="I242" s="406">
        <f t="shared" ca="1" si="1285"/>
        <v>0</v>
      </c>
      <c r="J242" s="407">
        <f t="shared" ca="1" si="1286"/>
        <v>0</v>
      </c>
      <c r="K242" s="408"/>
      <c r="L242" s="409"/>
      <c r="M242" s="409"/>
      <c r="N242" s="409"/>
      <c r="O242" s="409"/>
      <c r="P242" s="409"/>
      <c r="Q242" s="409"/>
      <c r="R242" s="409"/>
      <c r="S242" s="409"/>
      <c r="T242" s="409"/>
      <c r="U242" s="409"/>
      <c r="V242" s="410"/>
      <c r="W242" s="406">
        <f t="shared" ca="1" si="1060"/>
        <v>0</v>
      </c>
      <c r="X242" s="406"/>
      <c r="Y242" s="411"/>
      <c r="Z242" s="412">
        <f t="shared" si="1287"/>
        <v>0</v>
      </c>
      <c r="AA242" s="413"/>
      <c r="AB242" s="413"/>
      <c r="AC242" s="413"/>
      <c r="AD242" s="413"/>
      <c r="AE242" s="413"/>
      <c r="AF242" s="413"/>
      <c r="AG242" s="413"/>
      <c r="AH242" s="413"/>
      <c r="AI242" s="413"/>
      <c r="AJ242" s="413"/>
      <c r="AK242" s="413"/>
      <c r="AL242" s="413"/>
      <c r="AM242" s="572"/>
      <c r="AN242" s="351" t="s">
        <v>149</v>
      </c>
      <c r="AO242" s="351" t="str">
        <f t="shared" si="1074"/>
        <v>Sports.ru</v>
      </c>
      <c r="AP242" s="115">
        <f t="shared" si="1156"/>
        <v>17</v>
      </c>
      <c r="AQ242" s="31" t="str">
        <f t="shared" ca="1" si="1288"/>
        <v>-</v>
      </c>
      <c r="AR242" s="31" t="str">
        <f t="shared" ca="1" si="1288"/>
        <v>-</v>
      </c>
      <c r="AS242" s="35">
        <v>0</v>
      </c>
      <c r="AT242" s="229">
        <v>0</v>
      </c>
      <c r="AU242" s="344">
        <f t="shared" ca="1" si="1289"/>
        <v>2000</v>
      </c>
      <c r="AV242" s="345">
        <f t="shared" ca="1" si="1290"/>
        <v>2000</v>
      </c>
      <c r="AW242" s="346">
        <f t="shared" ca="1" si="1291"/>
        <v>2000</v>
      </c>
      <c r="AX242" s="280"/>
      <c r="AY242" s="280"/>
      <c r="AZ242" s="347">
        <f t="shared" ca="1" si="1292"/>
        <v>2000</v>
      </c>
      <c r="BA242" s="348">
        <f t="shared" ca="1" si="1293"/>
        <v>2000</v>
      </c>
      <c r="BB242" s="347">
        <f t="shared" ca="1" si="1294"/>
        <v>1</v>
      </c>
      <c r="BC242" s="37" t="str">
        <f t="shared" ca="1" si="1294"/>
        <v>1000 контактов</v>
      </c>
      <c r="BD242" s="229" t="str">
        <f t="shared" ca="1" si="1295"/>
        <v>х1000</v>
      </c>
      <c r="BE242" s="283">
        <f t="shared" ca="1" si="1075"/>
        <v>0</v>
      </c>
      <c r="BF242" s="347">
        <f t="array" aca="1" ref="BF242" ca="1">SUM($K242:$V242*$BK242:$BV242)*$AZ242</f>
        <v>0</v>
      </c>
      <c r="BG242" s="347">
        <f t="array" aca="1" ref="BG242" ca="1">SUM($K242:$V242*$BY242:$CJ242*$BK242:$BV242)*$AZ242*$BX242</f>
        <v>0</v>
      </c>
      <c r="BH242" s="347">
        <f t="array" aca="1" ref="BH242" ca="1">SUM($K242:$V242*$BY242:$CJ242*$BK242:$BV242)*(1-$BE242)*$AZ242*$BX242</f>
        <v>0</v>
      </c>
      <c r="BI242" s="350">
        <f t="shared" ca="1" si="1296"/>
        <v>0</v>
      </c>
      <c r="BJ242" s="275" t="str">
        <f t="shared" ca="1" si="1297"/>
        <v>Да</v>
      </c>
      <c r="BK242" s="116">
        <f t="shared" ca="1" si="1298"/>
        <v>0.8</v>
      </c>
      <c r="BL242" s="117">
        <f t="shared" ca="1" si="1298"/>
        <v>0.9</v>
      </c>
      <c r="BM242" s="117">
        <f t="shared" ca="1" si="1298"/>
        <v>1</v>
      </c>
      <c r="BN242" s="117">
        <f t="shared" ca="1" si="1298"/>
        <v>1</v>
      </c>
      <c r="BO242" s="117">
        <f t="shared" ca="1" si="1298"/>
        <v>1</v>
      </c>
      <c r="BP242" s="117">
        <f t="shared" ca="1" si="1298"/>
        <v>1</v>
      </c>
      <c r="BQ242" s="117">
        <f t="shared" ca="1" si="1298"/>
        <v>0.9</v>
      </c>
      <c r="BR242" s="117">
        <f t="shared" ca="1" si="1298"/>
        <v>0.9</v>
      </c>
      <c r="BS242" s="117">
        <f t="shared" ca="1" si="1298"/>
        <v>1.3</v>
      </c>
      <c r="BT242" s="117">
        <f t="shared" ca="1" si="1298"/>
        <v>1.3</v>
      </c>
      <c r="BU242" s="117">
        <f t="shared" ca="1" si="1298"/>
        <v>1.3</v>
      </c>
      <c r="BV242" s="278">
        <f t="shared" ca="1" si="1298"/>
        <v>1.3</v>
      </c>
      <c r="BW242" s="280">
        <f t="shared" si="1076"/>
        <v>16</v>
      </c>
      <c r="BX242" s="118">
        <f>IF($AN242="Ya",100%,100%+extraDelayZ)</f>
        <v>1</v>
      </c>
      <c r="BY242" s="263">
        <f t="shared" si="1299"/>
        <v>1</v>
      </c>
      <c r="BZ242" s="264">
        <f t="shared" si="1300"/>
        <v>1</v>
      </c>
      <c r="CA242" s="264">
        <f t="shared" si="1301"/>
        <v>1</v>
      </c>
      <c r="CB242" s="264">
        <f t="shared" si="1302"/>
        <v>1</v>
      </c>
      <c r="CC242" s="264">
        <f t="shared" si="1303"/>
        <v>1</v>
      </c>
      <c r="CD242" s="264">
        <f t="shared" si="1304"/>
        <v>1</v>
      </c>
      <c r="CE242" s="264">
        <f t="shared" si="1305"/>
        <v>1</v>
      </c>
      <c r="CF242" s="264">
        <f t="shared" si="1306"/>
        <v>1</v>
      </c>
      <c r="CG242" s="264">
        <f t="shared" si="1307"/>
        <v>1</v>
      </c>
      <c r="CH242" s="264">
        <f t="shared" si="1308"/>
        <v>1</v>
      </c>
      <c r="CI242" s="264">
        <f t="shared" si="1309"/>
        <v>1</v>
      </c>
      <c r="CJ242" s="265">
        <f t="shared" si="1310"/>
        <v>1</v>
      </c>
      <c r="CK242" s="269">
        <f t="array" ref="CK242">IF(ISERROR(SUM($K242:$V242*$BY242:$CJ242)/SUM($K242:$V242)),1,SUM($K242:$V242*$BY242:$CJ242)/SUM($K242:$V242))-1</f>
        <v>0</v>
      </c>
      <c r="CL242" s="234"/>
    </row>
    <row r="243" spans="1:90" ht="12.75" hidden="1" outlineLevel="1" x14ac:dyDescent="0.2">
      <c r="B243" s="414" t="str">
        <f t="shared" ca="1" si="1278"/>
        <v>Пакет "Тизер 8000К", Текстово-графический блок</v>
      </c>
      <c r="C243" s="676" t="str">
        <f t="shared" ca="1" si="1279"/>
        <v>Пакет</v>
      </c>
      <c r="D243" s="415">
        <f t="shared" ca="1" si="1280"/>
        <v>40</v>
      </c>
      <c r="E243" s="415">
        <f t="shared" ca="1" si="1281"/>
        <v>40</v>
      </c>
      <c r="F243" s="415">
        <f t="shared" ca="1" si="1282"/>
        <v>40</v>
      </c>
      <c r="G243" s="416">
        <f t="shared" ca="1" si="1283"/>
        <v>320000</v>
      </c>
      <c r="H243" s="416">
        <f t="shared" ca="1" si="1284"/>
        <v>320000</v>
      </c>
      <c r="I243" s="406">
        <f t="shared" ca="1" si="1285"/>
        <v>0</v>
      </c>
      <c r="J243" s="407">
        <f t="shared" ca="1" si="1286"/>
        <v>0</v>
      </c>
      <c r="K243" s="417"/>
      <c r="L243" s="418"/>
      <c r="M243" s="418"/>
      <c r="N243" s="418"/>
      <c r="O243" s="418"/>
      <c r="P243" s="418"/>
      <c r="Q243" s="418"/>
      <c r="R243" s="418"/>
      <c r="S243" s="418"/>
      <c r="T243" s="418"/>
      <c r="U243" s="418"/>
      <c r="V243" s="419"/>
      <c r="W243" s="416">
        <f t="shared" ca="1" si="1060"/>
        <v>0</v>
      </c>
      <c r="X243" s="416"/>
      <c r="Y243" s="420"/>
      <c r="Z243" s="412">
        <f t="shared" si="1287"/>
        <v>0</v>
      </c>
      <c r="AA243" s="421"/>
      <c r="AB243" s="421"/>
      <c r="AC243" s="421"/>
      <c r="AD243" s="421"/>
      <c r="AE243" s="421"/>
      <c r="AF243" s="421"/>
      <c r="AG243" s="421"/>
      <c r="AH243" s="421"/>
      <c r="AI243" s="421"/>
      <c r="AJ243" s="421"/>
      <c r="AK243" s="421"/>
      <c r="AL243" s="421"/>
      <c r="AM243" s="573"/>
      <c r="AN243" s="351" t="s">
        <v>149</v>
      </c>
      <c r="AO243" s="351" t="str">
        <f t="shared" si="1074"/>
        <v>Sports.ru</v>
      </c>
      <c r="AP243" s="115">
        <f t="shared" si="1156"/>
        <v>17</v>
      </c>
      <c r="AQ243" s="31" t="str">
        <f t="shared" ca="1" si="1288"/>
        <v>-</v>
      </c>
      <c r="AR243" s="31" t="str">
        <f t="shared" ca="1" si="1288"/>
        <v>-</v>
      </c>
      <c r="AS243" s="35">
        <v>0</v>
      </c>
      <c r="AT243" s="229">
        <v>0</v>
      </c>
      <c r="AU243" s="344">
        <f t="shared" ca="1" si="1289"/>
        <v>40</v>
      </c>
      <c r="AV243" s="345">
        <f t="shared" ca="1" si="1290"/>
        <v>40</v>
      </c>
      <c r="AW243" s="346">
        <f t="shared" ca="1" si="1291"/>
        <v>40</v>
      </c>
      <c r="AX243" s="280"/>
      <c r="AY243" s="280"/>
      <c r="AZ243" s="347">
        <f t="shared" ca="1" si="1292"/>
        <v>320000</v>
      </c>
      <c r="BA243" s="348">
        <f t="shared" ca="1" si="1293"/>
        <v>320000</v>
      </c>
      <c r="BB243" s="347">
        <f t="shared" ca="1" si="1294"/>
        <v>8000</v>
      </c>
      <c r="BC243" s="37" t="str">
        <f t="shared" ca="1" si="1294"/>
        <v>Пакет</v>
      </c>
      <c r="BD243" s="229" t="str">
        <f t="shared" ca="1" si="1295"/>
        <v>Пакет</v>
      </c>
      <c r="BE243" s="283">
        <f t="shared" ca="1" si="1075"/>
        <v>0</v>
      </c>
      <c r="BF243" s="347">
        <f t="array" aca="1" ref="BF243" ca="1">SUM($K243:$V243*$BK243:$BV243)*$AZ243</f>
        <v>0</v>
      </c>
      <c r="BG243" s="347">
        <f t="array" aca="1" ref="BG243" ca="1">SUM($K243:$V243*$BY243:$CJ243*$BK243:$BV243)*$AZ243*$BX243</f>
        <v>0</v>
      </c>
      <c r="BH243" s="347">
        <f t="array" aca="1" ref="BH243" ca="1">SUM($K243:$V243*$BY243:$CJ243*$BK243:$BV243)*(1-$BE243)*$AZ243*$BX243</f>
        <v>0</v>
      </c>
      <c r="BI243" s="350">
        <f t="shared" ca="1" si="1296"/>
        <v>0</v>
      </c>
      <c r="BJ243" s="275" t="str">
        <f t="shared" ca="1" si="1297"/>
        <v>Да</v>
      </c>
      <c r="BK243" s="116">
        <f t="shared" ca="1" si="1298"/>
        <v>0.8</v>
      </c>
      <c r="BL243" s="117">
        <f t="shared" ca="1" si="1298"/>
        <v>0.9</v>
      </c>
      <c r="BM243" s="117">
        <f t="shared" ca="1" si="1298"/>
        <v>1</v>
      </c>
      <c r="BN243" s="117">
        <f t="shared" ca="1" si="1298"/>
        <v>1</v>
      </c>
      <c r="BO243" s="117">
        <f t="shared" ca="1" si="1298"/>
        <v>1</v>
      </c>
      <c r="BP243" s="117">
        <f t="shared" ca="1" si="1298"/>
        <v>1</v>
      </c>
      <c r="BQ243" s="117">
        <f t="shared" ca="1" si="1298"/>
        <v>0.9</v>
      </c>
      <c r="BR243" s="117">
        <f t="shared" ca="1" si="1298"/>
        <v>0.9</v>
      </c>
      <c r="BS243" s="117">
        <f t="shared" ca="1" si="1298"/>
        <v>1.3</v>
      </c>
      <c r="BT243" s="117">
        <f t="shared" ca="1" si="1298"/>
        <v>1.3</v>
      </c>
      <c r="BU243" s="117">
        <f t="shared" ca="1" si="1298"/>
        <v>1.3</v>
      </c>
      <c r="BV243" s="278">
        <f t="shared" ca="1" si="1298"/>
        <v>1.3</v>
      </c>
      <c r="BW243" s="280">
        <f t="shared" si="1076"/>
        <v>17</v>
      </c>
      <c r="BX243" s="118">
        <f>IF($AN243="Ya",100%,100%+extraDelayZ)</f>
        <v>1</v>
      </c>
      <c r="BY243" s="263">
        <f t="shared" si="1299"/>
        <v>1</v>
      </c>
      <c r="BZ243" s="264">
        <f t="shared" si="1300"/>
        <v>1</v>
      </c>
      <c r="CA243" s="264">
        <f t="shared" si="1301"/>
        <v>1</v>
      </c>
      <c r="CB243" s="264">
        <f t="shared" si="1302"/>
        <v>1</v>
      </c>
      <c r="CC243" s="264">
        <f t="shared" si="1303"/>
        <v>1</v>
      </c>
      <c r="CD243" s="264">
        <f t="shared" si="1304"/>
        <v>1</v>
      </c>
      <c r="CE243" s="264">
        <f t="shared" si="1305"/>
        <v>1</v>
      </c>
      <c r="CF243" s="264">
        <f t="shared" si="1306"/>
        <v>1</v>
      </c>
      <c r="CG243" s="264">
        <f t="shared" si="1307"/>
        <v>1</v>
      </c>
      <c r="CH243" s="264">
        <f t="shared" si="1308"/>
        <v>1</v>
      </c>
      <c r="CI243" s="264">
        <f t="shared" si="1309"/>
        <v>1</v>
      </c>
      <c r="CJ243" s="265">
        <f t="shared" si="1310"/>
        <v>1</v>
      </c>
      <c r="CK243" s="269">
        <f t="array" ref="CK243">IF(ISERROR(SUM($K243:$V243*$BY243:$CJ243)/SUM($K243:$V243)),1,SUM($K243:$V243*$BY243:$CJ243)/SUM($K243:$V243))-1</f>
        <v>0</v>
      </c>
      <c r="CL243" s="234"/>
    </row>
    <row r="244" spans="1:90" ht="15" collapsed="1" x14ac:dyDescent="0.2">
      <c r="A244" s="391"/>
      <c r="B244" s="392" t="str">
        <f>CONCATENATE($AO244,IF($AX244&gt;0,CONCATENATE("  (план ",TEXT(INDEX(indBudX,MATCH($AN244,indPrefixX,0)),"# ##0")," руб.)"),""))</f>
        <v>Auto.ru</v>
      </c>
      <c r="C244" s="650" t="s">
        <v>363</v>
      </c>
      <c r="D244" s="393"/>
      <c r="E244" s="394"/>
      <c r="F244" s="394"/>
      <c r="G244" s="395"/>
      <c r="H244" s="395"/>
      <c r="I244" s="395">
        <f t="shared" ca="1" si="1285"/>
        <v>0</v>
      </c>
      <c r="J244" s="396">
        <f ca="1">$BH244</f>
        <v>0</v>
      </c>
      <c r="K244" s="397"/>
      <c r="L244" s="398"/>
      <c r="M244" s="398"/>
      <c r="N244" s="398"/>
      <c r="O244" s="398"/>
      <c r="P244" s="398"/>
      <c r="Q244" s="398"/>
      <c r="R244" s="398"/>
      <c r="S244" s="398"/>
      <c r="T244" s="398"/>
      <c r="U244" s="398"/>
      <c r="V244" s="399"/>
      <c r="W244" s="395">
        <f t="shared" ca="1" si="1060"/>
        <v>0</v>
      </c>
      <c r="X244" s="576"/>
      <c r="Y244" s="400">
        <f ca="1">$BE244</f>
        <v>0</v>
      </c>
      <c r="Z244" s="401"/>
      <c r="AA244" s="402"/>
      <c r="AB244" s="402"/>
      <c r="AC244" s="402"/>
      <c r="AD244" s="402"/>
      <c r="AE244" s="402"/>
      <c r="AF244" s="402"/>
      <c r="AG244" s="402"/>
      <c r="AH244" s="402"/>
      <c r="AI244" s="402"/>
      <c r="AJ244" s="402"/>
      <c r="AK244" s="402"/>
      <c r="AL244" s="402"/>
      <c r="AM244" s="403"/>
      <c r="AN244" s="130" t="s">
        <v>128</v>
      </c>
      <c r="AO244" s="130" t="str">
        <f t="shared" si="1074"/>
        <v>Auto.ru</v>
      </c>
      <c r="AP244" s="119">
        <f t="shared" si="1156"/>
        <v>4</v>
      </c>
      <c r="AQ244" s="120"/>
      <c r="AR244" s="120"/>
      <c r="AS244" s="121"/>
      <c r="AT244" s="228"/>
      <c r="AU244" s="232"/>
      <c r="AV244" s="179"/>
      <c r="AW244" s="233"/>
      <c r="AX244" s="279">
        <f>IF(ISERROR(INDEX(indBudX,MATCH($AN244,indPrefixX,0))),0,INDEX(indBudX,MATCH($AN244,indPrefixX,0)))</f>
        <v>0</v>
      </c>
      <c r="AY244" s="279">
        <f>IF(ISNUMBER($X244),$X244,0)</f>
        <v>0</v>
      </c>
      <c r="AZ244" s="123"/>
      <c r="BA244" s="125"/>
      <c r="BB244" s="123"/>
      <c r="BC244" s="124"/>
      <c r="BD244" s="464"/>
      <c r="BE244" s="282">
        <f t="shared" ca="1" si="1075"/>
        <v>0</v>
      </c>
      <c r="BF244" s="123">
        <f t="shared" ref="BF244:BI244" ca="1" si="1350">SUM(OFFSET(BF244,1,0,$AP244-1,1))</f>
        <v>0</v>
      </c>
      <c r="BG244" s="123">
        <f t="shared" ca="1" si="1350"/>
        <v>0</v>
      </c>
      <c r="BH244" s="123">
        <f t="shared" ca="1" si="1350"/>
        <v>0</v>
      </c>
      <c r="BI244" s="273">
        <f t="shared" ca="1" si="1350"/>
        <v>0</v>
      </c>
      <c r="BJ244" s="274"/>
      <c r="BK244" s="126"/>
      <c r="BL244" s="127"/>
      <c r="BM244" s="127"/>
      <c r="BN244" s="127"/>
      <c r="BO244" s="127"/>
      <c r="BP244" s="127"/>
      <c r="BQ244" s="127"/>
      <c r="BR244" s="127"/>
      <c r="BS244" s="127"/>
      <c r="BT244" s="127"/>
      <c r="BU244" s="127"/>
      <c r="BV244" s="277"/>
      <c r="BW244" s="279">
        <f t="shared" si="1076"/>
        <v>1</v>
      </c>
      <c r="BX244" s="128"/>
      <c r="BY244" s="260"/>
      <c r="BZ244" s="261"/>
      <c r="CA244" s="261"/>
      <c r="CB244" s="261"/>
      <c r="CC244" s="261"/>
      <c r="CD244" s="261"/>
      <c r="CE244" s="261"/>
      <c r="CF244" s="261"/>
      <c r="CG244" s="261"/>
      <c r="CH244" s="261"/>
      <c r="CI244" s="261"/>
      <c r="CJ244" s="262"/>
      <c r="CK244" s="270"/>
      <c r="CL244" s="234"/>
    </row>
    <row r="245" spans="1:90" ht="12.75" hidden="1" outlineLevel="1" x14ac:dyDescent="0.2">
      <c r="B245" s="404" t="str">
        <f ca="1">INDEX(INDIRECT(LOWER($AN245)&amp;"Price"),$BW245,2)</f>
        <v>Пакет "Охват 3000К", 990х90</v>
      </c>
      <c r="C245" s="649" t="str">
        <f t="shared" ref="C245:C247" ca="1" si="1351">$BD245</f>
        <v>Пакет</v>
      </c>
      <c r="D245" s="405">
        <f ca="1">$AU245</f>
        <v>250</v>
      </c>
      <c r="E245" s="405">
        <f ca="1">$AV245</f>
        <v>250</v>
      </c>
      <c r="F245" s="405">
        <f ca="1">$AW245</f>
        <v>250</v>
      </c>
      <c r="G245" s="406">
        <f ca="1">$AZ245</f>
        <v>750000</v>
      </c>
      <c r="H245" s="406">
        <f ca="1">$BA245</f>
        <v>750000</v>
      </c>
      <c r="I245" s="406">
        <f t="shared" ref="I245:I247" ca="1" si="1352">$BG245</f>
        <v>0</v>
      </c>
      <c r="J245" s="407">
        <f t="shared" ref="J245:J247" ca="1" si="1353">$BH245</f>
        <v>0</v>
      </c>
      <c r="K245" s="408"/>
      <c r="L245" s="409"/>
      <c r="M245" s="409"/>
      <c r="N245" s="409"/>
      <c r="O245" s="409"/>
      <c r="P245" s="409"/>
      <c r="Q245" s="409"/>
      <c r="R245" s="409"/>
      <c r="S245" s="409"/>
      <c r="T245" s="409"/>
      <c r="U245" s="409"/>
      <c r="V245" s="410"/>
      <c r="W245" s="406">
        <f t="shared" ca="1" si="1060"/>
        <v>0</v>
      </c>
      <c r="X245" s="406"/>
      <c r="Y245" s="411"/>
      <c r="Z245" s="412">
        <f t="shared" ref="Z245:Z247" si="1354">CK245</f>
        <v>0</v>
      </c>
      <c r="AA245" s="413"/>
      <c r="AB245" s="413"/>
      <c r="AC245" s="413"/>
      <c r="AD245" s="413"/>
      <c r="AE245" s="413"/>
      <c r="AF245" s="413"/>
      <c r="AG245" s="413"/>
      <c r="AH245" s="413"/>
      <c r="AI245" s="413"/>
      <c r="AJ245" s="413"/>
      <c r="AK245" s="413"/>
      <c r="AL245" s="413"/>
      <c r="AM245" s="572"/>
      <c r="AN245" s="351" t="s">
        <v>128</v>
      </c>
      <c r="AO245" s="351" t="str">
        <f t="shared" si="1074"/>
        <v>Auto.ru</v>
      </c>
      <c r="AP245" s="115">
        <f t="shared" si="1156"/>
        <v>4</v>
      </c>
      <c r="AQ245" s="31" t="str">
        <f t="shared" ref="AQ245:AR247" ca="1" si="1355">HLOOKUP(AQ$10,INDIRECT(LOWER($AN245)&amp;"Price"),$BW245,FALSE)</f>
        <v>-</v>
      </c>
      <c r="AR245" s="31" t="str">
        <f t="shared" ca="1" si="1355"/>
        <v>-</v>
      </c>
      <c r="AS245" s="35">
        <v>0</v>
      </c>
      <c r="AT245" s="229">
        <v>0</v>
      </c>
      <c r="AU245" s="344">
        <f ca="1">HLOOKUP(AU$10,INDIRECT(LOWER($AN245)&amp;"Price"),$BW245,FALSE)</f>
        <v>250</v>
      </c>
      <c r="AV245" s="345">
        <f ca="1">IF(ISERROR($BG245/$BI245),$AU245,$BG245/$BI245)</f>
        <v>250</v>
      </c>
      <c r="AW245" s="346">
        <f ca="1">$AV245*(1-$BE245)</f>
        <v>250</v>
      </c>
      <c r="AX245" s="280"/>
      <c r="AY245" s="280"/>
      <c r="AZ245" s="347">
        <f ca="1">HLOOKUP(AZ$10,INDIRECT(LOWER($AN245)&amp;"Price"),$BW245,FALSE)</f>
        <v>750000</v>
      </c>
      <c r="BA245" s="348">
        <f ca="1">$AZ245*(1-$BE245)</f>
        <v>750000</v>
      </c>
      <c r="BB245" s="347">
        <f t="shared" ref="BB245:BC247" ca="1" si="1356">HLOOKUP(BB$10,INDIRECT(LOWER($AN245)&amp;"Price"),$BW245,FALSE)</f>
        <v>3000</v>
      </c>
      <c r="BC245" s="37" t="str">
        <f t="shared" ca="1" si="1356"/>
        <v>Пакет</v>
      </c>
      <c r="BD245" s="229" t="str">
        <f ca="1">IF(ISERROR(VLOOKUP($BC245,typeIndexPair,2,FALSE)),"",VLOOKUP($BC245,typeIndexPair,2,FALSE))</f>
        <v>Пакет</v>
      </c>
      <c r="BE245" s="283">
        <f t="shared" ca="1" si="1075"/>
        <v>0</v>
      </c>
      <c r="BF245" s="347">
        <f t="array" aca="1" ref="BF245" ca="1">SUM($K245:$V245*$BK245:$BV245)*$AZ245</f>
        <v>0</v>
      </c>
      <c r="BG245" s="347">
        <f t="array" aca="1" ref="BG245" ca="1">SUM($K245:$V245*$BY245:$CJ245*$BK245:$BV245)*$AZ245*$BX245</f>
        <v>0</v>
      </c>
      <c r="BH245" s="347">
        <f t="array" aca="1" ref="BH245" ca="1">SUM($K245:$V245*$BY245:$CJ245*$BK245:$BV245)*(1-$BE245)*$AZ245*$BX245</f>
        <v>0</v>
      </c>
      <c r="BI245" s="350">
        <f ca="1">SUM($K245:$V245)*$BB245</f>
        <v>0</v>
      </c>
      <c r="BJ245" s="275" t="str">
        <f ca="1">IF(ISERROR(HLOOKUP(BJ$10,INDIRECT(LOWER($AN245)&amp;"Price"),$BW245,FALSE)),"Да",HLOOKUP(BJ$10,INDIRECT(LOWER($AN245)&amp;"Price"),$BW245,FALSE))</f>
        <v>Да</v>
      </c>
      <c r="BK245" s="116">
        <f t="shared" ref="BK245:BV247" ca="1" si="1357">IF($BJ245="Особ.",INDEX(INDIRECT(LOWER($AN245)&amp;"Season2"),BK$9),IF($BJ245="Да",INDEX(INDIRECT(LOWER($AN245)&amp;"Season"),BK$9),100%))</f>
        <v>0.8</v>
      </c>
      <c r="BL245" s="117">
        <f t="shared" ca="1" si="1357"/>
        <v>0.9</v>
      </c>
      <c r="BM245" s="117">
        <f t="shared" ca="1" si="1357"/>
        <v>1</v>
      </c>
      <c r="BN245" s="117">
        <f t="shared" ca="1" si="1357"/>
        <v>1</v>
      </c>
      <c r="BO245" s="117">
        <f t="shared" ca="1" si="1357"/>
        <v>1</v>
      </c>
      <c r="BP245" s="117">
        <f t="shared" ca="1" si="1357"/>
        <v>1</v>
      </c>
      <c r="BQ245" s="117">
        <f t="shared" ca="1" si="1357"/>
        <v>0.9</v>
      </c>
      <c r="BR245" s="117">
        <f t="shared" ca="1" si="1357"/>
        <v>0.9</v>
      </c>
      <c r="BS245" s="117">
        <f t="shared" ca="1" si="1357"/>
        <v>1.3</v>
      </c>
      <c r="BT245" s="117">
        <f t="shared" ca="1" si="1357"/>
        <v>1.3</v>
      </c>
      <c r="BU245" s="117">
        <f t="shared" ca="1" si="1357"/>
        <v>1.3</v>
      </c>
      <c r="BV245" s="278">
        <f t="shared" ca="1" si="1357"/>
        <v>1.3</v>
      </c>
      <c r="BW245" s="280">
        <f t="shared" si="1076"/>
        <v>2</v>
      </c>
      <c r="BX245" s="118">
        <f>IF($AN245="Ya",100%,100%+extraDelayZ)</f>
        <v>1</v>
      </c>
      <c r="BY245" s="263">
        <f t="shared" ref="BY245:BY247" si="1358">(1+AA245)</f>
        <v>1</v>
      </c>
      <c r="BZ245" s="264">
        <f t="shared" ref="BZ245:BZ247" si="1359">(1+AB245)</f>
        <v>1</v>
      </c>
      <c r="CA245" s="264">
        <f t="shared" ref="CA245:CA247" si="1360">(1+AC245)</f>
        <v>1</v>
      </c>
      <c r="CB245" s="264">
        <f t="shared" ref="CB245:CB247" si="1361">(1+AD245)</f>
        <v>1</v>
      </c>
      <c r="CC245" s="264">
        <f t="shared" ref="CC245:CC247" si="1362">(1+AE245)</f>
        <v>1</v>
      </c>
      <c r="CD245" s="264">
        <f t="shared" ref="CD245:CD247" si="1363">(1+AF245)</f>
        <v>1</v>
      </c>
      <c r="CE245" s="264">
        <f t="shared" ref="CE245:CE247" si="1364">(1+AG245)</f>
        <v>1</v>
      </c>
      <c r="CF245" s="264">
        <f t="shared" ref="CF245:CF247" si="1365">(1+AH245)</f>
        <v>1</v>
      </c>
      <c r="CG245" s="264">
        <f t="shared" ref="CG245:CG247" si="1366">(1+AI245)</f>
        <v>1</v>
      </c>
      <c r="CH245" s="264">
        <f t="shared" ref="CH245:CH247" si="1367">(1+AJ245)</f>
        <v>1</v>
      </c>
      <c r="CI245" s="264">
        <f t="shared" ref="CI245:CI247" si="1368">(1+AK245)</f>
        <v>1</v>
      </c>
      <c r="CJ245" s="265">
        <f t="shared" ref="CJ245:CJ247" si="1369">(1+AL245)</f>
        <v>1</v>
      </c>
      <c r="CK245" s="269">
        <f t="array" ref="CK245">IF(ISERROR(SUM($K245:$V245*$BY245:$CJ245)/SUM($K245:$V245)),1,SUM($K245:$V245*$BY245:$CJ245)/SUM($K245:$V245))-1</f>
        <v>0</v>
      </c>
      <c r="CL245" s="234"/>
    </row>
    <row r="246" spans="1:90" ht="12.75" hidden="1" outlineLevel="1" x14ac:dyDescent="0.2">
      <c r="B246" s="404" t="str">
        <f ca="1">INDEX(INDIRECT(LOWER($AN246)&amp;"Price"),$BW246,2)</f>
        <v>Пакет "Охват 1500К", 990х90</v>
      </c>
      <c r="C246" s="649" t="str">
        <f t="shared" ca="1" si="1351"/>
        <v>Пакет</v>
      </c>
      <c r="D246" s="405">
        <f ca="1">$AU246</f>
        <v>300</v>
      </c>
      <c r="E246" s="405">
        <f ca="1">$AV246</f>
        <v>300</v>
      </c>
      <c r="F246" s="405">
        <f ca="1">$AW246</f>
        <v>300</v>
      </c>
      <c r="G246" s="406">
        <f ca="1">$AZ246</f>
        <v>450000</v>
      </c>
      <c r="H246" s="406">
        <f ca="1">$BA246</f>
        <v>450000</v>
      </c>
      <c r="I246" s="406">
        <f t="shared" ca="1" si="1352"/>
        <v>0</v>
      </c>
      <c r="J246" s="407">
        <f t="shared" ca="1" si="1353"/>
        <v>0</v>
      </c>
      <c r="K246" s="408"/>
      <c r="L246" s="409"/>
      <c r="M246" s="409"/>
      <c r="N246" s="409"/>
      <c r="O246" s="409"/>
      <c r="P246" s="409"/>
      <c r="Q246" s="409"/>
      <c r="R246" s="409"/>
      <c r="S246" s="409"/>
      <c r="T246" s="409"/>
      <c r="U246" s="409"/>
      <c r="V246" s="410"/>
      <c r="W246" s="406">
        <f t="shared" ca="1" si="1060"/>
        <v>0</v>
      </c>
      <c r="X246" s="406"/>
      <c r="Y246" s="411"/>
      <c r="Z246" s="412">
        <f t="shared" ref="Z246" si="1370">CK246</f>
        <v>0</v>
      </c>
      <c r="AA246" s="413"/>
      <c r="AB246" s="413"/>
      <c r="AC246" s="413"/>
      <c r="AD246" s="413"/>
      <c r="AE246" s="413"/>
      <c r="AF246" s="413"/>
      <c r="AG246" s="413"/>
      <c r="AH246" s="413"/>
      <c r="AI246" s="413"/>
      <c r="AJ246" s="413"/>
      <c r="AK246" s="413"/>
      <c r="AL246" s="413"/>
      <c r="AM246" s="572"/>
      <c r="AN246" s="351" t="s">
        <v>128</v>
      </c>
      <c r="AO246" s="351" t="str">
        <f t="shared" si="1074"/>
        <v>Auto.ru</v>
      </c>
      <c r="AP246" s="115">
        <f t="shared" si="1156"/>
        <v>4</v>
      </c>
      <c r="AQ246" s="31" t="str">
        <f t="shared" ca="1" si="1355"/>
        <v>-</v>
      </c>
      <c r="AR246" s="31" t="str">
        <f t="shared" ca="1" si="1355"/>
        <v>-</v>
      </c>
      <c r="AS246" s="35">
        <v>0</v>
      </c>
      <c r="AT246" s="229">
        <v>0</v>
      </c>
      <c r="AU246" s="344">
        <f ca="1">HLOOKUP(AU$10,INDIRECT(LOWER($AN246)&amp;"Price"),$BW246,FALSE)</f>
        <v>300</v>
      </c>
      <c r="AV246" s="345">
        <f ca="1">IF(ISERROR($BG246/$BI246),$AU246,$BG246/$BI246)</f>
        <v>300</v>
      </c>
      <c r="AW246" s="346">
        <f ca="1">$AV246*(1-$BE246)</f>
        <v>300</v>
      </c>
      <c r="AX246" s="280"/>
      <c r="AY246" s="280"/>
      <c r="AZ246" s="347">
        <f ca="1">HLOOKUP(AZ$10,INDIRECT(LOWER($AN246)&amp;"Price"),$BW246,FALSE)</f>
        <v>450000</v>
      </c>
      <c r="BA246" s="348">
        <f ca="1">$AZ246*(1-$BE246)</f>
        <v>450000</v>
      </c>
      <c r="BB246" s="347">
        <f t="shared" ca="1" si="1356"/>
        <v>1500</v>
      </c>
      <c r="BC246" s="37" t="str">
        <f t="shared" ca="1" si="1356"/>
        <v>Пакет</v>
      </c>
      <c r="BD246" s="229" t="str">
        <f ca="1">IF(ISERROR(VLOOKUP($BC246,typeIndexPair,2,FALSE)),"",VLOOKUP($BC246,typeIndexPair,2,FALSE))</f>
        <v>Пакет</v>
      </c>
      <c r="BE246" s="283">
        <f t="shared" ca="1" si="1075"/>
        <v>0</v>
      </c>
      <c r="BF246" s="347">
        <f t="array" aca="1" ref="BF246" ca="1">SUM($K246:$V246*$BK246:$BV246)*$AZ246</f>
        <v>0</v>
      </c>
      <c r="BG246" s="347">
        <f t="array" aca="1" ref="BG246" ca="1">SUM($K246:$V246*$BY246:$CJ246*$BK246:$BV246)*$AZ246*$BX246</f>
        <v>0</v>
      </c>
      <c r="BH246" s="347">
        <f t="array" aca="1" ref="BH246" ca="1">SUM($K246:$V246*$BY246:$CJ246*$BK246:$BV246)*(1-$BE246)*$AZ246*$BX246</f>
        <v>0</v>
      </c>
      <c r="BI246" s="350">
        <f ca="1">SUM($K246:$V246)*$BB246</f>
        <v>0</v>
      </c>
      <c r="BJ246" s="275" t="str">
        <f ca="1">IF(ISERROR(HLOOKUP(BJ$10,INDIRECT(LOWER($AN246)&amp;"Price"),$BW246,FALSE)),"Да",HLOOKUP(BJ$10,INDIRECT(LOWER($AN246)&amp;"Price"),$BW246,FALSE))</f>
        <v>Да</v>
      </c>
      <c r="BK246" s="116">
        <f t="shared" ca="1" si="1357"/>
        <v>0.8</v>
      </c>
      <c r="BL246" s="117">
        <f t="shared" ca="1" si="1357"/>
        <v>0.9</v>
      </c>
      <c r="BM246" s="117">
        <f t="shared" ca="1" si="1357"/>
        <v>1</v>
      </c>
      <c r="BN246" s="117">
        <f t="shared" ca="1" si="1357"/>
        <v>1</v>
      </c>
      <c r="BO246" s="117">
        <f t="shared" ca="1" si="1357"/>
        <v>1</v>
      </c>
      <c r="BP246" s="117">
        <f t="shared" ca="1" si="1357"/>
        <v>1</v>
      </c>
      <c r="BQ246" s="117">
        <f t="shared" ca="1" si="1357"/>
        <v>0.9</v>
      </c>
      <c r="BR246" s="117">
        <f t="shared" ca="1" si="1357"/>
        <v>0.9</v>
      </c>
      <c r="BS246" s="117">
        <f t="shared" ca="1" si="1357"/>
        <v>1.3</v>
      </c>
      <c r="BT246" s="117">
        <f t="shared" ca="1" si="1357"/>
        <v>1.3</v>
      </c>
      <c r="BU246" s="117">
        <f t="shared" ca="1" si="1357"/>
        <v>1.3</v>
      </c>
      <c r="BV246" s="278">
        <f t="shared" ca="1" si="1357"/>
        <v>1.3</v>
      </c>
      <c r="BW246" s="280">
        <f t="shared" si="1076"/>
        <v>3</v>
      </c>
      <c r="BX246" s="118">
        <f>IF($AN246="Ya",100%,100%+extraDelayZ)</f>
        <v>1</v>
      </c>
      <c r="BY246" s="263">
        <f t="shared" ref="BY246" si="1371">(1+AA246)</f>
        <v>1</v>
      </c>
      <c r="BZ246" s="264">
        <f t="shared" ref="BZ246" si="1372">(1+AB246)</f>
        <v>1</v>
      </c>
      <c r="CA246" s="264">
        <f t="shared" ref="CA246" si="1373">(1+AC246)</f>
        <v>1</v>
      </c>
      <c r="CB246" s="264">
        <f t="shared" ref="CB246" si="1374">(1+AD246)</f>
        <v>1</v>
      </c>
      <c r="CC246" s="264">
        <f t="shared" ref="CC246" si="1375">(1+AE246)</f>
        <v>1</v>
      </c>
      <c r="CD246" s="264">
        <f t="shared" ref="CD246" si="1376">(1+AF246)</f>
        <v>1</v>
      </c>
      <c r="CE246" s="264">
        <f t="shared" ref="CE246" si="1377">(1+AG246)</f>
        <v>1</v>
      </c>
      <c r="CF246" s="264">
        <f t="shared" ref="CF246" si="1378">(1+AH246)</f>
        <v>1</v>
      </c>
      <c r="CG246" s="264">
        <f t="shared" ref="CG246" si="1379">(1+AI246)</f>
        <v>1</v>
      </c>
      <c r="CH246" s="264">
        <f t="shared" ref="CH246" si="1380">(1+AJ246)</f>
        <v>1</v>
      </c>
      <c r="CI246" s="264">
        <f t="shared" ref="CI246" si="1381">(1+AK246)</f>
        <v>1</v>
      </c>
      <c r="CJ246" s="265">
        <f t="shared" ref="CJ246" si="1382">(1+AL246)</f>
        <v>1</v>
      </c>
      <c r="CK246" s="269">
        <f t="array" ref="CK246">IF(ISERROR(SUM($K246:$V246*$BY246:$CJ246)/SUM($K246:$V246)),1,SUM($K246:$V246*$BY246:$CJ246)/SUM($K246:$V246))-1</f>
        <v>0</v>
      </c>
      <c r="CL246" s="234"/>
    </row>
    <row r="247" spans="1:90" ht="12.75" hidden="1" outlineLevel="1" x14ac:dyDescent="0.2">
      <c r="B247" s="414" t="str">
        <f ca="1">INDEX(INDIRECT(LOWER($AN247)&amp;"Price"),$BW247,2)</f>
        <v>Динамика, 990х90</v>
      </c>
      <c r="C247" s="649" t="str">
        <f t="shared" ca="1" si="1351"/>
        <v>х1000</v>
      </c>
      <c r="D247" s="415">
        <f ca="1">$AU247</f>
        <v>400</v>
      </c>
      <c r="E247" s="415">
        <f ca="1">$AV247</f>
        <v>400</v>
      </c>
      <c r="F247" s="415">
        <f ca="1">$AW247</f>
        <v>400</v>
      </c>
      <c r="G247" s="416">
        <f ca="1">$AZ247</f>
        <v>400</v>
      </c>
      <c r="H247" s="416">
        <f ca="1">$BA247</f>
        <v>400</v>
      </c>
      <c r="I247" s="406">
        <f t="shared" ca="1" si="1352"/>
        <v>0</v>
      </c>
      <c r="J247" s="407">
        <f t="shared" ca="1" si="1353"/>
        <v>0</v>
      </c>
      <c r="K247" s="417"/>
      <c r="L247" s="418"/>
      <c r="M247" s="418"/>
      <c r="N247" s="418"/>
      <c r="O247" s="418"/>
      <c r="P247" s="418"/>
      <c r="Q247" s="418"/>
      <c r="R247" s="418"/>
      <c r="S247" s="418"/>
      <c r="T247" s="418"/>
      <c r="U247" s="418"/>
      <c r="V247" s="419"/>
      <c r="W247" s="416">
        <f t="shared" ca="1" si="1060"/>
        <v>0</v>
      </c>
      <c r="X247" s="416"/>
      <c r="Y247" s="420"/>
      <c r="Z247" s="412">
        <f t="shared" si="1354"/>
        <v>0</v>
      </c>
      <c r="AA247" s="421"/>
      <c r="AB247" s="421"/>
      <c r="AC247" s="421"/>
      <c r="AD247" s="421"/>
      <c r="AE247" s="421"/>
      <c r="AF247" s="421"/>
      <c r="AG247" s="421"/>
      <c r="AH247" s="421"/>
      <c r="AI247" s="421"/>
      <c r="AJ247" s="421"/>
      <c r="AK247" s="421"/>
      <c r="AL247" s="421"/>
      <c r="AM247" s="573"/>
      <c r="AN247" s="351" t="s">
        <v>128</v>
      </c>
      <c r="AO247" s="351" t="str">
        <f t="shared" si="1074"/>
        <v>Auto.ru</v>
      </c>
      <c r="AP247" s="115">
        <f t="shared" si="1156"/>
        <v>4</v>
      </c>
      <c r="AQ247" s="31" t="str">
        <f t="shared" ca="1" si="1355"/>
        <v>-</v>
      </c>
      <c r="AR247" s="31">
        <f t="shared" ca="1" si="1355"/>
        <v>0.15</v>
      </c>
      <c r="AS247" s="35">
        <v>0</v>
      </c>
      <c r="AT247" s="229">
        <v>0</v>
      </c>
      <c r="AU247" s="344">
        <f ca="1">HLOOKUP(AU$10,INDIRECT(LOWER($AN247)&amp;"Price"),$BW247,FALSE)</f>
        <v>400</v>
      </c>
      <c r="AV247" s="345">
        <f ca="1">IF(ISERROR($BG247/$BI247),$AU247,$BG247/$BI247)</f>
        <v>400</v>
      </c>
      <c r="AW247" s="346">
        <f ca="1">$AV247*(1-$BE247)</f>
        <v>400</v>
      </c>
      <c r="AX247" s="280"/>
      <c r="AY247" s="280"/>
      <c r="AZ247" s="347">
        <f ca="1">HLOOKUP(AZ$10,INDIRECT(LOWER($AN247)&amp;"Price"),$BW247,FALSE)</f>
        <v>400</v>
      </c>
      <c r="BA247" s="348">
        <f ca="1">$AZ247*(1-$BE247)</f>
        <v>400</v>
      </c>
      <c r="BB247" s="347">
        <f t="shared" ca="1" si="1356"/>
        <v>1</v>
      </c>
      <c r="BC247" s="37" t="str">
        <f t="shared" ca="1" si="1356"/>
        <v>1000 контактов</v>
      </c>
      <c r="BD247" s="229" t="str">
        <f ca="1">IF(ISERROR(VLOOKUP($BC247,typeIndexPair,2,FALSE)),"",VLOOKUP($BC247,typeIndexPair,2,FALSE))</f>
        <v>х1000</v>
      </c>
      <c r="BE247" s="283">
        <f t="shared" ca="1" si="1075"/>
        <v>0</v>
      </c>
      <c r="BF247" s="347">
        <f t="array" aca="1" ref="BF247" ca="1">SUM($K247:$V247*$BK247:$BV247)*$AZ247</f>
        <v>0</v>
      </c>
      <c r="BG247" s="347">
        <f t="array" aca="1" ref="BG247" ca="1">SUM($K247:$V247*$BY247:$CJ247*$BK247:$BV247)*$AZ247*$BX247</f>
        <v>0</v>
      </c>
      <c r="BH247" s="347">
        <f t="array" aca="1" ref="BH247" ca="1">SUM($K247:$V247*$BY247:$CJ247*$BK247:$BV247)*(1-$BE247)*$AZ247*$BX247</f>
        <v>0</v>
      </c>
      <c r="BI247" s="350">
        <f ca="1">SUM($K247:$V247)*$BB247</f>
        <v>0</v>
      </c>
      <c r="BJ247" s="275" t="str">
        <f ca="1">IF(ISERROR(HLOOKUP(BJ$10,INDIRECT(LOWER($AN247)&amp;"Price"),$BW247,FALSE)),"Да",HLOOKUP(BJ$10,INDIRECT(LOWER($AN247)&amp;"Price"),$BW247,FALSE))</f>
        <v>Да</v>
      </c>
      <c r="BK247" s="116">
        <f t="shared" ca="1" si="1357"/>
        <v>0.8</v>
      </c>
      <c r="BL247" s="117">
        <f t="shared" ca="1" si="1357"/>
        <v>0.9</v>
      </c>
      <c r="BM247" s="117">
        <f t="shared" ca="1" si="1357"/>
        <v>1</v>
      </c>
      <c r="BN247" s="117">
        <f t="shared" ca="1" si="1357"/>
        <v>1</v>
      </c>
      <c r="BO247" s="117">
        <f t="shared" ca="1" si="1357"/>
        <v>1</v>
      </c>
      <c r="BP247" s="117">
        <f t="shared" ca="1" si="1357"/>
        <v>1</v>
      </c>
      <c r="BQ247" s="117">
        <f t="shared" ca="1" si="1357"/>
        <v>0.9</v>
      </c>
      <c r="BR247" s="117">
        <f t="shared" ca="1" si="1357"/>
        <v>0.9</v>
      </c>
      <c r="BS247" s="117">
        <f t="shared" ca="1" si="1357"/>
        <v>1.3</v>
      </c>
      <c r="BT247" s="117">
        <f t="shared" ca="1" si="1357"/>
        <v>1.3</v>
      </c>
      <c r="BU247" s="117">
        <f t="shared" ca="1" si="1357"/>
        <v>1.3</v>
      </c>
      <c r="BV247" s="278">
        <f t="shared" ca="1" si="1357"/>
        <v>1.3</v>
      </c>
      <c r="BW247" s="280">
        <f t="shared" si="1076"/>
        <v>4</v>
      </c>
      <c r="BX247" s="118">
        <f>IF($AN247="Ya",100%,100%+extraDelayZ)</f>
        <v>1</v>
      </c>
      <c r="BY247" s="263">
        <f t="shared" si="1358"/>
        <v>1</v>
      </c>
      <c r="BZ247" s="264">
        <f t="shared" si="1359"/>
        <v>1</v>
      </c>
      <c r="CA247" s="264">
        <f t="shared" si="1360"/>
        <v>1</v>
      </c>
      <c r="CB247" s="264">
        <f t="shared" si="1361"/>
        <v>1</v>
      </c>
      <c r="CC247" s="264">
        <f t="shared" si="1362"/>
        <v>1</v>
      </c>
      <c r="CD247" s="264">
        <f t="shared" si="1363"/>
        <v>1</v>
      </c>
      <c r="CE247" s="264">
        <f t="shared" si="1364"/>
        <v>1</v>
      </c>
      <c r="CF247" s="264">
        <f t="shared" si="1365"/>
        <v>1</v>
      </c>
      <c r="CG247" s="264">
        <f t="shared" si="1366"/>
        <v>1</v>
      </c>
      <c r="CH247" s="264">
        <f t="shared" si="1367"/>
        <v>1</v>
      </c>
      <c r="CI247" s="264">
        <f t="shared" si="1368"/>
        <v>1</v>
      </c>
      <c r="CJ247" s="265">
        <f t="shared" si="1369"/>
        <v>1</v>
      </c>
      <c r="CK247" s="269">
        <f t="array" ref="CK247">IF(ISERROR(SUM($K247:$V247*$BY247:$CJ247)/SUM($K247:$V247)),1,SUM($K247:$V247*$BY247:$CJ247)/SUM($K247:$V247))-1</f>
        <v>0</v>
      </c>
      <c r="CL247" s="234"/>
    </row>
    <row r="248" spans="1:90" ht="15" collapsed="1" x14ac:dyDescent="0.2">
      <c r="A248" s="391"/>
      <c r="B248" s="392" t="str">
        <f>CONCATENATE($AO248,IF($AX248&gt;0,CONCATENATE("  (план ",TEXT(INDEX(indBudX,MATCH($AN248,indPrefixX,0)),"# ##0")," руб.)"),""))</f>
        <v>3dnews.ru</v>
      </c>
      <c r="C248" s="650" t="s">
        <v>363</v>
      </c>
      <c r="D248" s="393"/>
      <c r="E248" s="394"/>
      <c r="F248" s="394"/>
      <c r="G248" s="395"/>
      <c r="H248" s="395"/>
      <c r="I248" s="395">
        <f t="shared" ref="I248" ca="1" si="1383">$BG248</f>
        <v>0</v>
      </c>
      <c r="J248" s="396">
        <f ca="1">$BH248</f>
        <v>0</v>
      </c>
      <c r="K248" s="397"/>
      <c r="L248" s="398"/>
      <c r="M248" s="398"/>
      <c r="N248" s="398"/>
      <c r="O248" s="398"/>
      <c r="P248" s="398"/>
      <c r="Q248" s="398"/>
      <c r="R248" s="398"/>
      <c r="S248" s="398"/>
      <c r="T248" s="398"/>
      <c r="U248" s="398"/>
      <c r="V248" s="399"/>
      <c r="W248" s="395">
        <f t="shared" ca="1" si="1060"/>
        <v>0</v>
      </c>
      <c r="X248" s="576"/>
      <c r="Y248" s="400">
        <f ca="1">$BE248</f>
        <v>0</v>
      </c>
      <c r="Z248" s="401"/>
      <c r="AA248" s="402"/>
      <c r="AB248" s="402"/>
      <c r="AC248" s="402"/>
      <c r="AD248" s="402"/>
      <c r="AE248" s="402"/>
      <c r="AF248" s="402"/>
      <c r="AG248" s="402"/>
      <c r="AH248" s="402"/>
      <c r="AI248" s="402"/>
      <c r="AJ248" s="402"/>
      <c r="AK248" s="402"/>
      <c r="AL248" s="402"/>
      <c r="AM248" s="403"/>
      <c r="AN248" s="130" t="s">
        <v>135</v>
      </c>
      <c r="AO248" s="130" t="str">
        <f t="shared" si="1074"/>
        <v>3dnews.ru</v>
      </c>
      <c r="AP248" s="119">
        <f t="shared" si="1156"/>
        <v>5</v>
      </c>
      <c r="AQ248" s="120"/>
      <c r="AR248" s="120"/>
      <c r="AS248" s="121"/>
      <c r="AT248" s="228"/>
      <c r="AU248" s="232"/>
      <c r="AV248" s="179"/>
      <c r="AW248" s="233"/>
      <c r="AX248" s="279">
        <f>IF(ISERROR(INDEX(indBudX,MATCH($AN248,indPrefixX,0))),0,INDEX(indBudX,MATCH($AN248,indPrefixX,0)))</f>
        <v>0</v>
      </c>
      <c r="AY248" s="279">
        <f>IF(ISNUMBER($X248),$X248,0)</f>
        <v>0</v>
      </c>
      <c r="AZ248" s="123"/>
      <c r="BA248" s="125"/>
      <c r="BB248" s="123"/>
      <c r="BC248" s="124"/>
      <c r="BD248" s="464"/>
      <c r="BE248" s="282">
        <f t="shared" ca="1" si="1075"/>
        <v>0</v>
      </c>
      <c r="BF248" s="123">
        <f t="shared" ref="BF248:BI248" ca="1" si="1384">SUM(OFFSET(BF248,1,0,$AP248-1,1))</f>
        <v>0</v>
      </c>
      <c r="BG248" s="123">
        <f t="shared" ca="1" si="1384"/>
        <v>0</v>
      </c>
      <c r="BH248" s="123">
        <f t="shared" ca="1" si="1384"/>
        <v>0</v>
      </c>
      <c r="BI248" s="273">
        <f t="shared" ca="1" si="1384"/>
        <v>0</v>
      </c>
      <c r="BJ248" s="274"/>
      <c r="BK248" s="126"/>
      <c r="BL248" s="127"/>
      <c r="BM248" s="127"/>
      <c r="BN248" s="127"/>
      <c r="BO248" s="127"/>
      <c r="BP248" s="127"/>
      <c r="BQ248" s="127"/>
      <c r="BR248" s="127"/>
      <c r="BS248" s="127"/>
      <c r="BT248" s="127"/>
      <c r="BU248" s="127"/>
      <c r="BV248" s="277"/>
      <c r="BW248" s="279">
        <f t="shared" si="1076"/>
        <v>1</v>
      </c>
      <c r="BX248" s="128"/>
      <c r="BY248" s="260"/>
      <c r="BZ248" s="261"/>
      <c r="CA248" s="261"/>
      <c r="CB248" s="261"/>
      <c r="CC248" s="261"/>
      <c r="CD248" s="261"/>
      <c r="CE248" s="261"/>
      <c r="CF248" s="261"/>
      <c r="CG248" s="261"/>
      <c r="CH248" s="261"/>
      <c r="CI248" s="261"/>
      <c r="CJ248" s="262"/>
      <c r="CK248" s="270"/>
      <c r="CL248" s="234"/>
    </row>
    <row r="249" spans="1:90" ht="12.75" hidden="1" outlineLevel="1" x14ac:dyDescent="0.2">
      <c r="B249" s="404" t="str">
        <f t="shared" ref="B249:B252" ca="1" si="1385">INDEX(INDIRECT(LOWER($AN249)&amp;"Price"),$BW249,2)</f>
        <v>Пакет "Охват 800К", 200х600/ 240x400</v>
      </c>
      <c r="C249" s="649" t="str">
        <f t="shared" ref="C249:C252" ca="1" si="1386">$BD249</f>
        <v>Пакет</v>
      </c>
      <c r="D249" s="405">
        <f t="shared" ref="D249:D252" ca="1" si="1387">$AU249</f>
        <v>500</v>
      </c>
      <c r="E249" s="405">
        <f t="shared" ref="E249:E252" ca="1" si="1388">$AV249</f>
        <v>500</v>
      </c>
      <c r="F249" s="405">
        <f t="shared" ref="F249:F252" ca="1" si="1389">$AW249</f>
        <v>500</v>
      </c>
      <c r="G249" s="406">
        <f t="shared" ref="G249:G252" ca="1" si="1390">$AZ249</f>
        <v>400000</v>
      </c>
      <c r="H249" s="406">
        <f t="shared" ref="H249:H252" ca="1" si="1391">$BA249</f>
        <v>400000</v>
      </c>
      <c r="I249" s="406">
        <f t="shared" ref="I249:I252" ca="1" si="1392">$BG249</f>
        <v>0</v>
      </c>
      <c r="J249" s="407">
        <f t="shared" ref="J249:J252" ca="1" si="1393">$BH249</f>
        <v>0</v>
      </c>
      <c r="K249" s="408"/>
      <c r="L249" s="409"/>
      <c r="M249" s="409"/>
      <c r="N249" s="409"/>
      <c r="O249" s="409"/>
      <c r="P249" s="409"/>
      <c r="Q249" s="409"/>
      <c r="R249" s="409"/>
      <c r="S249" s="409"/>
      <c r="T249" s="409"/>
      <c r="U249" s="409"/>
      <c r="V249" s="410"/>
      <c r="W249" s="406">
        <f t="shared" ref="W249:W294" ca="1" si="1394">$BI249</f>
        <v>0</v>
      </c>
      <c r="X249" s="406"/>
      <c r="Y249" s="411"/>
      <c r="Z249" s="412">
        <f t="shared" ref="Z249:Z252" si="1395">CK249</f>
        <v>0</v>
      </c>
      <c r="AA249" s="413"/>
      <c r="AB249" s="413"/>
      <c r="AC249" s="413"/>
      <c r="AD249" s="413"/>
      <c r="AE249" s="413"/>
      <c r="AF249" s="413"/>
      <c r="AG249" s="413"/>
      <c r="AH249" s="413"/>
      <c r="AI249" s="413"/>
      <c r="AJ249" s="413"/>
      <c r="AK249" s="413"/>
      <c r="AL249" s="413"/>
      <c r="AM249" s="572"/>
      <c r="AN249" s="351" t="s">
        <v>135</v>
      </c>
      <c r="AO249" s="351" t="str">
        <f t="shared" si="1074"/>
        <v>3dnews.ru</v>
      </c>
      <c r="AP249" s="115">
        <f t="shared" si="1156"/>
        <v>5</v>
      </c>
      <c r="AQ249" s="31">
        <f t="shared" ref="AQ249:AR252" ca="1" si="1396">HLOOKUP(AQ$10,INDIRECT(LOWER($AN249)&amp;"Price"),$BW249,FALSE)</f>
        <v>0.15</v>
      </c>
      <c r="AR249" s="31">
        <f t="shared" ca="1" si="1396"/>
        <v>0.15</v>
      </c>
      <c r="AS249" s="35">
        <v>0</v>
      </c>
      <c r="AT249" s="229">
        <v>0</v>
      </c>
      <c r="AU249" s="344">
        <f t="shared" ref="AU249:AU252" ca="1" si="1397">HLOOKUP(AU$10,INDIRECT(LOWER($AN249)&amp;"Price"),$BW249,FALSE)</f>
        <v>500</v>
      </c>
      <c r="AV249" s="345">
        <f t="shared" ref="AV249:AV252" ca="1" si="1398">IF(ISERROR($BG249/$BI249),$AU249,$BG249/$BI249)</f>
        <v>500</v>
      </c>
      <c r="AW249" s="346">
        <f t="shared" ref="AW249:AW252" ca="1" si="1399">$AV249*(1-$BE249)</f>
        <v>500</v>
      </c>
      <c r="AX249" s="280"/>
      <c r="AY249" s="280"/>
      <c r="AZ249" s="347">
        <f t="shared" ref="AZ249:AZ252" ca="1" si="1400">HLOOKUP(AZ$10,INDIRECT(LOWER($AN249)&amp;"Price"),$BW249,FALSE)</f>
        <v>400000</v>
      </c>
      <c r="BA249" s="348">
        <f t="shared" ref="BA249:BA252" ca="1" si="1401">$AZ249*(1-$BE249)</f>
        <v>400000</v>
      </c>
      <c r="BB249" s="347">
        <f t="shared" ref="BB249:BC252" ca="1" si="1402">HLOOKUP(BB$10,INDIRECT(LOWER($AN249)&amp;"Price"),$BW249,FALSE)</f>
        <v>800</v>
      </c>
      <c r="BC249" s="37" t="str">
        <f t="shared" ca="1" si="1402"/>
        <v>Пакет</v>
      </c>
      <c r="BD249" s="229" t="str">
        <f t="shared" ref="BD249:BD252" ca="1" si="1403">IF(ISERROR(VLOOKUP($BC249,typeIndexPair,2,FALSE)),"",VLOOKUP($BC249,typeIndexPair,2,FALSE))</f>
        <v>Пакет</v>
      </c>
      <c r="BE249" s="283">
        <f t="shared" ca="1" si="1075"/>
        <v>0</v>
      </c>
      <c r="BF249" s="347">
        <f t="array" aca="1" ref="BF249" ca="1">SUM($K249:$V249*$BK249:$BV249)*$AZ249</f>
        <v>0</v>
      </c>
      <c r="BG249" s="347">
        <f t="array" aca="1" ref="BG249" ca="1">SUM($K249:$V249*$BY249:$CJ249*$BK249:$BV249)*$AZ249*$BX249</f>
        <v>0</v>
      </c>
      <c r="BH249" s="347">
        <f t="array" aca="1" ref="BH249" ca="1">SUM($K249:$V249*$BY249:$CJ249*$BK249:$BV249)*(1-$BE249)*$AZ249*$BX249</f>
        <v>0</v>
      </c>
      <c r="BI249" s="350">
        <f t="shared" ref="BI249:BI252" ca="1" si="1404">SUM($K249:$V249)*$BB249</f>
        <v>0</v>
      </c>
      <c r="BJ249" s="275" t="str">
        <f t="shared" ref="BJ249:BJ252" ca="1" si="1405">IF(ISERROR(HLOOKUP(BJ$10,INDIRECT(LOWER($AN249)&amp;"Price"),$BW249,FALSE)),"Да",HLOOKUP(BJ$10,INDIRECT(LOWER($AN249)&amp;"Price"),$BW249,FALSE))</f>
        <v>Да</v>
      </c>
      <c r="BK249" s="116">
        <f t="shared" ref="BK249:BV252" ca="1" si="1406">IF($BJ249="Особ.",INDEX(INDIRECT(LOWER($AN249)&amp;"Season2"),BK$9),IF($BJ249="Да",INDEX(INDIRECT(LOWER($AN249)&amp;"Season"),BK$9),100%))</f>
        <v>0.8</v>
      </c>
      <c r="BL249" s="117">
        <f t="shared" ca="1" si="1406"/>
        <v>0.9</v>
      </c>
      <c r="BM249" s="117">
        <f t="shared" ca="1" si="1406"/>
        <v>1</v>
      </c>
      <c r="BN249" s="117">
        <f t="shared" ca="1" si="1406"/>
        <v>1</v>
      </c>
      <c r="BO249" s="117">
        <f t="shared" ca="1" si="1406"/>
        <v>1</v>
      </c>
      <c r="BP249" s="117">
        <f t="shared" ca="1" si="1406"/>
        <v>1</v>
      </c>
      <c r="BQ249" s="117">
        <f t="shared" ca="1" si="1406"/>
        <v>0.9</v>
      </c>
      <c r="BR249" s="117">
        <f t="shared" ca="1" si="1406"/>
        <v>0.9</v>
      </c>
      <c r="BS249" s="117">
        <f t="shared" ca="1" si="1406"/>
        <v>1.3</v>
      </c>
      <c r="BT249" s="117">
        <f t="shared" ca="1" si="1406"/>
        <v>1.3</v>
      </c>
      <c r="BU249" s="117">
        <f t="shared" ca="1" si="1406"/>
        <v>1.3</v>
      </c>
      <c r="BV249" s="278">
        <f t="shared" ca="1" si="1406"/>
        <v>1.3</v>
      </c>
      <c r="BW249" s="280">
        <f t="shared" si="1076"/>
        <v>2</v>
      </c>
      <c r="BX249" s="118">
        <f>IF($AN249="Ya",100%,100%+extraDelayZ)</f>
        <v>1</v>
      </c>
      <c r="BY249" s="263">
        <f t="shared" ref="BY249:BY252" si="1407">(1+AA249)</f>
        <v>1</v>
      </c>
      <c r="BZ249" s="264">
        <f t="shared" ref="BZ249:BZ252" si="1408">(1+AB249)</f>
        <v>1</v>
      </c>
      <c r="CA249" s="264">
        <f t="shared" ref="CA249:CA252" si="1409">(1+AC249)</f>
        <v>1</v>
      </c>
      <c r="CB249" s="264">
        <f t="shared" ref="CB249:CB252" si="1410">(1+AD249)</f>
        <v>1</v>
      </c>
      <c r="CC249" s="264">
        <f t="shared" ref="CC249:CC252" si="1411">(1+AE249)</f>
        <v>1</v>
      </c>
      <c r="CD249" s="264">
        <f t="shared" ref="CD249:CD252" si="1412">(1+AF249)</f>
        <v>1</v>
      </c>
      <c r="CE249" s="264">
        <f t="shared" ref="CE249:CE252" si="1413">(1+AG249)</f>
        <v>1</v>
      </c>
      <c r="CF249" s="264">
        <f t="shared" ref="CF249:CF252" si="1414">(1+AH249)</f>
        <v>1</v>
      </c>
      <c r="CG249" s="264">
        <f t="shared" ref="CG249:CG252" si="1415">(1+AI249)</f>
        <v>1</v>
      </c>
      <c r="CH249" s="264">
        <f t="shared" ref="CH249:CH252" si="1416">(1+AJ249)</f>
        <v>1</v>
      </c>
      <c r="CI249" s="264">
        <f t="shared" ref="CI249:CI252" si="1417">(1+AK249)</f>
        <v>1</v>
      </c>
      <c r="CJ249" s="265">
        <f t="shared" ref="CJ249:CJ252" si="1418">(1+AL249)</f>
        <v>1</v>
      </c>
      <c r="CK249" s="269">
        <f t="array" ref="CK249">IF(ISERROR(SUM($K249:$V249*$BY249:$CJ249)/SUM($K249:$V249)),1,SUM($K249:$V249*$BY249:$CJ249)/SUM($K249:$V249))-1</f>
        <v>0</v>
      </c>
      <c r="CL249" s="234"/>
    </row>
    <row r="250" spans="1:90" ht="12.75" hidden="1" outlineLevel="1" x14ac:dyDescent="0.2">
      <c r="B250" s="404" t="str">
        <f t="shared" ca="1" si="1385"/>
        <v>Пакет "Охват 1500К", 200х600/ 240x400</v>
      </c>
      <c r="C250" s="649" t="str">
        <f t="shared" ca="1" si="1386"/>
        <v>Пакет</v>
      </c>
      <c r="D250" s="405">
        <f t="shared" ca="1" si="1387"/>
        <v>420</v>
      </c>
      <c r="E250" s="405">
        <f t="shared" ca="1" si="1388"/>
        <v>420</v>
      </c>
      <c r="F250" s="405">
        <f t="shared" ca="1" si="1389"/>
        <v>420</v>
      </c>
      <c r="G250" s="406">
        <f t="shared" ca="1" si="1390"/>
        <v>630000</v>
      </c>
      <c r="H250" s="406">
        <f t="shared" ca="1" si="1391"/>
        <v>630000</v>
      </c>
      <c r="I250" s="406">
        <f t="shared" ca="1" si="1392"/>
        <v>0</v>
      </c>
      <c r="J250" s="407">
        <f t="shared" ca="1" si="1393"/>
        <v>0</v>
      </c>
      <c r="K250" s="408"/>
      <c r="L250" s="409"/>
      <c r="M250" s="409"/>
      <c r="N250" s="409"/>
      <c r="O250" s="409"/>
      <c r="P250" s="409"/>
      <c r="Q250" s="409"/>
      <c r="R250" s="409"/>
      <c r="S250" s="409"/>
      <c r="T250" s="409"/>
      <c r="U250" s="409"/>
      <c r="V250" s="410"/>
      <c r="W250" s="406">
        <f t="shared" ca="1" si="1394"/>
        <v>0</v>
      </c>
      <c r="X250" s="406"/>
      <c r="Y250" s="411"/>
      <c r="Z250" s="412">
        <f t="shared" si="1395"/>
        <v>0</v>
      </c>
      <c r="AA250" s="413"/>
      <c r="AB250" s="413"/>
      <c r="AC250" s="413"/>
      <c r="AD250" s="413"/>
      <c r="AE250" s="413"/>
      <c r="AF250" s="413"/>
      <c r="AG250" s="413"/>
      <c r="AH250" s="413"/>
      <c r="AI250" s="413"/>
      <c r="AJ250" s="413"/>
      <c r="AK250" s="413"/>
      <c r="AL250" s="413"/>
      <c r="AM250" s="572"/>
      <c r="AN250" s="351" t="s">
        <v>135</v>
      </c>
      <c r="AO250" s="351" t="str">
        <f t="shared" si="1074"/>
        <v>3dnews.ru</v>
      </c>
      <c r="AP250" s="115">
        <f t="shared" si="1156"/>
        <v>5</v>
      </c>
      <c r="AQ250" s="31">
        <f t="shared" ca="1" si="1396"/>
        <v>0.15</v>
      </c>
      <c r="AR250" s="31">
        <f t="shared" ca="1" si="1396"/>
        <v>0.15</v>
      </c>
      <c r="AS250" s="35">
        <v>0</v>
      </c>
      <c r="AT250" s="229">
        <v>0</v>
      </c>
      <c r="AU250" s="344">
        <f t="shared" ca="1" si="1397"/>
        <v>420</v>
      </c>
      <c r="AV250" s="345">
        <f t="shared" ca="1" si="1398"/>
        <v>420</v>
      </c>
      <c r="AW250" s="346">
        <f t="shared" ca="1" si="1399"/>
        <v>420</v>
      </c>
      <c r="AX250" s="280"/>
      <c r="AY250" s="280"/>
      <c r="AZ250" s="347">
        <f t="shared" ca="1" si="1400"/>
        <v>630000</v>
      </c>
      <c r="BA250" s="348">
        <f t="shared" ca="1" si="1401"/>
        <v>630000</v>
      </c>
      <c r="BB250" s="347">
        <f t="shared" ca="1" si="1402"/>
        <v>1500</v>
      </c>
      <c r="BC250" s="37" t="str">
        <f t="shared" ca="1" si="1402"/>
        <v>Пакет</v>
      </c>
      <c r="BD250" s="229" t="str">
        <f t="shared" ca="1" si="1403"/>
        <v>Пакет</v>
      </c>
      <c r="BE250" s="283">
        <f t="shared" ca="1" si="1075"/>
        <v>0</v>
      </c>
      <c r="BF250" s="347">
        <f t="array" aca="1" ref="BF250" ca="1">SUM($K250:$V250*$BK250:$BV250)*$AZ250</f>
        <v>0</v>
      </c>
      <c r="BG250" s="347">
        <f t="array" aca="1" ref="BG250" ca="1">SUM($K250:$V250*$BY250:$CJ250*$BK250:$BV250)*$AZ250*$BX250</f>
        <v>0</v>
      </c>
      <c r="BH250" s="347">
        <f t="array" aca="1" ref="BH250" ca="1">SUM($K250:$V250*$BY250:$CJ250*$BK250:$BV250)*(1-$BE250)*$AZ250*$BX250</f>
        <v>0</v>
      </c>
      <c r="BI250" s="350">
        <f t="shared" ca="1" si="1404"/>
        <v>0</v>
      </c>
      <c r="BJ250" s="275" t="str">
        <f t="shared" ca="1" si="1405"/>
        <v>Да</v>
      </c>
      <c r="BK250" s="116">
        <f t="shared" ca="1" si="1406"/>
        <v>0.8</v>
      </c>
      <c r="BL250" s="117">
        <f t="shared" ca="1" si="1406"/>
        <v>0.9</v>
      </c>
      <c r="BM250" s="117">
        <f t="shared" ca="1" si="1406"/>
        <v>1</v>
      </c>
      <c r="BN250" s="117">
        <f t="shared" ca="1" si="1406"/>
        <v>1</v>
      </c>
      <c r="BO250" s="117">
        <f t="shared" ca="1" si="1406"/>
        <v>1</v>
      </c>
      <c r="BP250" s="117">
        <f t="shared" ca="1" si="1406"/>
        <v>1</v>
      </c>
      <c r="BQ250" s="117">
        <f t="shared" ca="1" si="1406"/>
        <v>0.9</v>
      </c>
      <c r="BR250" s="117">
        <f t="shared" ca="1" si="1406"/>
        <v>0.9</v>
      </c>
      <c r="BS250" s="117">
        <f t="shared" ca="1" si="1406"/>
        <v>1.3</v>
      </c>
      <c r="BT250" s="117">
        <f t="shared" ca="1" si="1406"/>
        <v>1.3</v>
      </c>
      <c r="BU250" s="117">
        <f t="shared" ca="1" si="1406"/>
        <v>1.3</v>
      </c>
      <c r="BV250" s="278">
        <f t="shared" ca="1" si="1406"/>
        <v>1.3</v>
      </c>
      <c r="BW250" s="280">
        <f t="shared" si="1076"/>
        <v>3</v>
      </c>
      <c r="BX250" s="118">
        <f>IF($AN250="Ya",100%,100%+extraDelayZ)</f>
        <v>1</v>
      </c>
      <c r="BY250" s="263">
        <f t="shared" si="1407"/>
        <v>1</v>
      </c>
      <c r="BZ250" s="264">
        <f t="shared" si="1408"/>
        <v>1</v>
      </c>
      <c r="CA250" s="264">
        <f t="shared" si="1409"/>
        <v>1</v>
      </c>
      <c r="CB250" s="264">
        <f t="shared" si="1410"/>
        <v>1</v>
      </c>
      <c r="CC250" s="264">
        <f t="shared" si="1411"/>
        <v>1</v>
      </c>
      <c r="CD250" s="264">
        <f t="shared" si="1412"/>
        <v>1</v>
      </c>
      <c r="CE250" s="264">
        <f t="shared" si="1413"/>
        <v>1</v>
      </c>
      <c r="CF250" s="264">
        <f t="shared" si="1414"/>
        <v>1</v>
      </c>
      <c r="CG250" s="264">
        <f t="shared" si="1415"/>
        <v>1</v>
      </c>
      <c r="CH250" s="264">
        <f t="shared" si="1416"/>
        <v>1</v>
      </c>
      <c r="CI250" s="264">
        <f t="shared" si="1417"/>
        <v>1</v>
      </c>
      <c r="CJ250" s="265">
        <f t="shared" si="1418"/>
        <v>1</v>
      </c>
      <c r="CK250" s="269">
        <f t="array" ref="CK250">IF(ISERROR(SUM($K250:$V250*$BY250:$CJ250)/SUM($K250:$V250)),1,SUM($K250:$V250*$BY250:$CJ250)/SUM($K250:$V250))-1</f>
        <v>0</v>
      </c>
      <c r="CL250" s="234"/>
    </row>
    <row r="251" spans="1:90" ht="12.75" hidden="1" outlineLevel="1" x14ac:dyDescent="0.2">
      <c r="B251" s="404" t="str">
        <f t="shared" ca="1" si="1385"/>
        <v>Главная страница, FullScreen, F=1 в сутки</v>
      </c>
      <c r="C251" s="649" t="str">
        <f t="shared" ca="1" si="1386"/>
        <v>х1000</v>
      </c>
      <c r="D251" s="405">
        <f t="shared" ca="1" si="1387"/>
        <v>1500</v>
      </c>
      <c r="E251" s="405">
        <f t="shared" ca="1" si="1388"/>
        <v>1500</v>
      </c>
      <c r="F251" s="405">
        <f t="shared" ca="1" si="1389"/>
        <v>1500</v>
      </c>
      <c r="G251" s="406">
        <f t="shared" ca="1" si="1390"/>
        <v>1500</v>
      </c>
      <c r="H251" s="406">
        <f t="shared" ca="1" si="1391"/>
        <v>1500</v>
      </c>
      <c r="I251" s="406">
        <f t="shared" ca="1" si="1392"/>
        <v>0</v>
      </c>
      <c r="J251" s="407">
        <f t="shared" ca="1" si="1393"/>
        <v>0</v>
      </c>
      <c r="K251" s="408"/>
      <c r="L251" s="409"/>
      <c r="M251" s="409"/>
      <c r="N251" s="409"/>
      <c r="O251" s="409"/>
      <c r="P251" s="409"/>
      <c r="Q251" s="409"/>
      <c r="R251" s="409"/>
      <c r="S251" s="409"/>
      <c r="T251" s="409"/>
      <c r="U251" s="409"/>
      <c r="V251" s="410"/>
      <c r="W251" s="406">
        <f t="shared" ca="1" si="1394"/>
        <v>0</v>
      </c>
      <c r="X251" s="406"/>
      <c r="Y251" s="411"/>
      <c r="Z251" s="412">
        <f t="shared" si="1395"/>
        <v>0</v>
      </c>
      <c r="AA251" s="413"/>
      <c r="AB251" s="413"/>
      <c r="AC251" s="413"/>
      <c r="AD251" s="413"/>
      <c r="AE251" s="413"/>
      <c r="AF251" s="413"/>
      <c r="AG251" s="413"/>
      <c r="AH251" s="413"/>
      <c r="AI251" s="413"/>
      <c r="AJ251" s="413"/>
      <c r="AK251" s="413"/>
      <c r="AL251" s="413"/>
      <c r="AM251" s="572"/>
      <c r="AN251" s="351" t="s">
        <v>135</v>
      </c>
      <c r="AO251" s="351" t="str">
        <f t="shared" ref="AO251:AO305" si="1419">INDEX(indSiteX,MATCH($AN251,indPrefixX,0))</f>
        <v>3dnews.ru</v>
      </c>
      <c r="AP251" s="115">
        <f t="shared" si="1156"/>
        <v>5</v>
      </c>
      <c r="AQ251" s="31" t="str">
        <f t="shared" ca="1" si="1396"/>
        <v>-</v>
      </c>
      <c r="AR251" s="31" t="str">
        <f t="shared" ca="1" si="1396"/>
        <v>-</v>
      </c>
      <c r="AS251" s="35">
        <v>0</v>
      </c>
      <c r="AT251" s="229">
        <v>0</v>
      </c>
      <c r="AU251" s="344">
        <f t="shared" ca="1" si="1397"/>
        <v>1500</v>
      </c>
      <c r="AV251" s="345">
        <f t="shared" ca="1" si="1398"/>
        <v>1500</v>
      </c>
      <c r="AW251" s="346">
        <f t="shared" ca="1" si="1399"/>
        <v>1500</v>
      </c>
      <c r="AX251" s="280"/>
      <c r="AY251" s="280"/>
      <c r="AZ251" s="347">
        <f t="shared" ca="1" si="1400"/>
        <v>1500</v>
      </c>
      <c r="BA251" s="348">
        <f t="shared" ca="1" si="1401"/>
        <v>1500</v>
      </c>
      <c r="BB251" s="347">
        <f t="shared" ca="1" si="1402"/>
        <v>1</v>
      </c>
      <c r="BC251" s="37" t="str">
        <f t="shared" ca="1" si="1402"/>
        <v>1000 контактов</v>
      </c>
      <c r="BD251" s="229" t="str">
        <f t="shared" ca="1" si="1403"/>
        <v>х1000</v>
      </c>
      <c r="BE251" s="283">
        <f t="shared" ref="BE251:BE305" ca="1" si="1420">INDEX(indDiscZX,MATCH($AN251,indPrefixX,0))</f>
        <v>0</v>
      </c>
      <c r="BF251" s="347">
        <f t="array" aca="1" ref="BF251" ca="1">SUM($K251:$V251*$BK251:$BV251)*$AZ251</f>
        <v>0</v>
      </c>
      <c r="BG251" s="347">
        <f t="array" aca="1" ref="BG251" ca="1">SUM($K251:$V251*$BY251:$CJ251*$BK251:$BV251)*$AZ251*$BX251</f>
        <v>0</v>
      </c>
      <c r="BH251" s="347">
        <f t="array" aca="1" ref="BH251" ca="1">SUM($K251:$V251*$BY251:$CJ251*$BK251:$BV251)*(1-$BE251)*$AZ251*$BX251</f>
        <v>0</v>
      </c>
      <c r="BI251" s="350">
        <f t="shared" ca="1" si="1404"/>
        <v>0</v>
      </c>
      <c r="BJ251" s="275" t="str">
        <f t="shared" ca="1" si="1405"/>
        <v>Да</v>
      </c>
      <c r="BK251" s="116">
        <f t="shared" ca="1" si="1406"/>
        <v>0.8</v>
      </c>
      <c r="BL251" s="117">
        <f t="shared" ca="1" si="1406"/>
        <v>0.9</v>
      </c>
      <c r="BM251" s="117">
        <f t="shared" ca="1" si="1406"/>
        <v>1</v>
      </c>
      <c r="BN251" s="117">
        <f t="shared" ca="1" si="1406"/>
        <v>1</v>
      </c>
      <c r="BO251" s="117">
        <f t="shared" ca="1" si="1406"/>
        <v>1</v>
      </c>
      <c r="BP251" s="117">
        <f t="shared" ca="1" si="1406"/>
        <v>1</v>
      </c>
      <c r="BQ251" s="117">
        <f t="shared" ca="1" si="1406"/>
        <v>0.9</v>
      </c>
      <c r="BR251" s="117">
        <f t="shared" ca="1" si="1406"/>
        <v>0.9</v>
      </c>
      <c r="BS251" s="117">
        <f t="shared" ca="1" si="1406"/>
        <v>1.3</v>
      </c>
      <c r="BT251" s="117">
        <f t="shared" ca="1" si="1406"/>
        <v>1.3</v>
      </c>
      <c r="BU251" s="117">
        <f t="shared" ca="1" si="1406"/>
        <v>1.3</v>
      </c>
      <c r="BV251" s="278">
        <f t="shared" ca="1" si="1406"/>
        <v>1.3</v>
      </c>
      <c r="BW251" s="280">
        <f t="shared" ref="BW251:BW305" si="1421">ROW()-MATCH($AO251,resList,0)+1</f>
        <v>4</v>
      </c>
      <c r="BX251" s="118">
        <f>IF($AN251="Ya",100%,100%+extraDelayZ)</f>
        <v>1</v>
      </c>
      <c r="BY251" s="263">
        <f t="shared" si="1407"/>
        <v>1</v>
      </c>
      <c r="BZ251" s="264">
        <f t="shared" si="1408"/>
        <v>1</v>
      </c>
      <c r="CA251" s="264">
        <f t="shared" si="1409"/>
        <v>1</v>
      </c>
      <c r="CB251" s="264">
        <f t="shared" si="1410"/>
        <v>1</v>
      </c>
      <c r="CC251" s="264">
        <f t="shared" si="1411"/>
        <v>1</v>
      </c>
      <c r="CD251" s="264">
        <f t="shared" si="1412"/>
        <v>1</v>
      </c>
      <c r="CE251" s="264">
        <f t="shared" si="1413"/>
        <v>1</v>
      </c>
      <c r="CF251" s="264">
        <f t="shared" si="1414"/>
        <v>1</v>
      </c>
      <c r="CG251" s="264">
        <f t="shared" si="1415"/>
        <v>1</v>
      </c>
      <c r="CH251" s="264">
        <f t="shared" si="1416"/>
        <v>1</v>
      </c>
      <c r="CI251" s="264">
        <f t="shared" si="1417"/>
        <v>1</v>
      </c>
      <c r="CJ251" s="265">
        <f t="shared" si="1418"/>
        <v>1</v>
      </c>
      <c r="CK251" s="269">
        <f t="array" ref="CK251">IF(ISERROR(SUM($K251:$V251*$BY251:$CJ251)/SUM($K251:$V251)),1,SUM($K251:$V251*$BY251:$CJ251)/SUM($K251:$V251))-1</f>
        <v>0</v>
      </c>
      <c r="CL251" s="234"/>
    </row>
    <row r="252" spans="1:90" ht="12.75" hidden="1" outlineLevel="1" x14ac:dyDescent="0.2">
      <c r="B252" s="414" t="str">
        <f t="shared" ca="1" si="1385"/>
        <v>Liveinternet.ru, Cтатистика сайтов, 240х400</v>
      </c>
      <c r="C252" s="649" t="str">
        <f t="shared" ca="1" si="1386"/>
        <v>х1000</v>
      </c>
      <c r="D252" s="415">
        <f t="shared" ca="1" si="1387"/>
        <v>600</v>
      </c>
      <c r="E252" s="415">
        <f t="shared" ca="1" si="1388"/>
        <v>600</v>
      </c>
      <c r="F252" s="415">
        <f t="shared" ca="1" si="1389"/>
        <v>600</v>
      </c>
      <c r="G252" s="416">
        <f t="shared" ca="1" si="1390"/>
        <v>600</v>
      </c>
      <c r="H252" s="416">
        <f t="shared" ca="1" si="1391"/>
        <v>600</v>
      </c>
      <c r="I252" s="406">
        <f t="shared" ca="1" si="1392"/>
        <v>0</v>
      </c>
      <c r="J252" s="407">
        <f t="shared" ca="1" si="1393"/>
        <v>0</v>
      </c>
      <c r="K252" s="417"/>
      <c r="L252" s="418"/>
      <c r="M252" s="418"/>
      <c r="N252" s="418"/>
      <c r="O252" s="418"/>
      <c r="P252" s="418"/>
      <c r="Q252" s="418"/>
      <c r="R252" s="418"/>
      <c r="S252" s="418"/>
      <c r="T252" s="418"/>
      <c r="U252" s="418"/>
      <c r="V252" s="419"/>
      <c r="W252" s="416">
        <f t="shared" ca="1" si="1394"/>
        <v>0</v>
      </c>
      <c r="X252" s="416"/>
      <c r="Y252" s="420"/>
      <c r="Z252" s="412">
        <f t="shared" si="1395"/>
        <v>0</v>
      </c>
      <c r="AA252" s="421"/>
      <c r="AB252" s="421"/>
      <c r="AC252" s="421"/>
      <c r="AD252" s="421"/>
      <c r="AE252" s="421"/>
      <c r="AF252" s="421"/>
      <c r="AG252" s="421"/>
      <c r="AH252" s="421"/>
      <c r="AI252" s="421"/>
      <c r="AJ252" s="421"/>
      <c r="AK252" s="421"/>
      <c r="AL252" s="421"/>
      <c r="AM252" s="573"/>
      <c r="AN252" s="351" t="s">
        <v>135</v>
      </c>
      <c r="AO252" s="351" t="str">
        <f t="shared" si="1419"/>
        <v>3dnews.ru</v>
      </c>
      <c r="AP252" s="115">
        <f t="shared" si="1156"/>
        <v>5</v>
      </c>
      <c r="AQ252" s="31">
        <f t="shared" ca="1" si="1396"/>
        <v>0.15</v>
      </c>
      <c r="AR252" s="31">
        <f t="shared" ca="1" si="1396"/>
        <v>0.15</v>
      </c>
      <c r="AS252" s="35">
        <v>0</v>
      </c>
      <c r="AT252" s="229">
        <v>0</v>
      </c>
      <c r="AU252" s="344">
        <f t="shared" ca="1" si="1397"/>
        <v>600</v>
      </c>
      <c r="AV252" s="345">
        <f t="shared" ca="1" si="1398"/>
        <v>600</v>
      </c>
      <c r="AW252" s="346">
        <f t="shared" ca="1" si="1399"/>
        <v>600</v>
      </c>
      <c r="AX252" s="280"/>
      <c r="AY252" s="280"/>
      <c r="AZ252" s="347">
        <f t="shared" ca="1" si="1400"/>
        <v>600</v>
      </c>
      <c r="BA252" s="348">
        <f t="shared" ca="1" si="1401"/>
        <v>600</v>
      </c>
      <c r="BB252" s="347">
        <f t="shared" ca="1" si="1402"/>
        <v>1</v>
      </c>
      <c r="BC252" s="37" t="str">
        <f t="shared" ca="1" si="1402"/>
        <v>1000 контактов</v>
      </c>
      <c r="BD252" s="229" t="str">
        <f t="shared" ca="1" si="1403"/>
        <v>х1000</v>
      </c>
      <c r="BE252" s="283">
        <f t="shared" ca="1" si="1420"/>
        <v>0</v>
      </c>
      <c r="BF252" s="347">
        <f t="array" aca="1" ref="BF252" ca="1">SUM($K252:$V252*$BK252:$BV252)*$AZ252</f>
        <v>0</v>
      </c>
      <c r="BG252" s="347">
        <f t="array" aca="1" ref="BG252" ca="1">SUM($K252:$V252*$BY252:$CJ252*$BK252:$BV252)*$AZ252*$BX252</f>
        <v>0</v>
      </c>
      <c r="BH252" s="347">
        <f t="array" aca="1" ref="BH252" ca="1">SUM($K252:$V252*$BY252:$CJ252*$BK252:$BV252)*(1-$BE252)*$AZ252*$BX252</f>
        <v>0</v>
      </c>
      <c r="BI252" s="350">
        <f t="shared" ca="1" si="1404"/>
        <v>0</v>
      </c>
      <c r="BJ252" s="275" t="str">
        <f t="shared" ca="1" si="1405"/>
        <v>Да</v>
      </c>
      <c r="BK252" s="116">
        <f t="shared" ca="1" si="1406"/>
        <v>0.8</v>
      </c>
      <c r="BL252" s="117">
        <f t="shared" ca="1" si="1406"/>
        <v>0.9</v>
      </c>
      <c r="BM252" s="117">
        <f t="shared" ca="1" si="1406"/>
        <v>1</v>
      </c>
      <c r="BN252" s="117">
        <f t="shared" ca="1" si="1406"/>
        <v>1</v>
      </c>
      <c r="BO252" s="117">
        <f t="shared" ca="1" si="1406"/>
        <v>1</v>
      </c>
      <c r="BP252" s="117">
        <f t="shared" ca="1" si="1406"/>
        <v>1</v>
      </c>
      <c r="BQ252" s="117">
        <f t="shared" ca="1" si="1406"/>
        <v>0.9</v>
      </c>
      <c r="BR252" s="117">
        <f t="shared" ca="1" si="1406"/>
        <v>0.9</v>
      </c>
      <c r="BS252" s="117">
        <f t="shared" ca="1" si="1406"/>
        <v>1.3</v>
      </c>
      <c r="BT252" s="117">
        <f t="shared" ca="1" si="1406"/>
        <v>1.3</v>
      </c>
      <c r="BU252" s="117">
        <f t="shared" ca="1" si="1406"/>
        <v>1.3</v>
      </c>
      <c r="BV252" s="278">
        <f t="shared" ca="1" si="1406"/>
        <v>1.3</v>
      </c>
      <c r="BW252" s="280">
        <f t="shared" si="1421"/>
        <v>5</v>
      </c>
      <c r="BX252" s="118">
        <f>IF($AN252="Ya",100%,100%+extraDelayZ)</f>
        <v>1</v>
      </c>
      <c r="BY252" s="263">
        <f t="shared" si="1407"/>
        <v>1</v>
      </c>
      <c r="BZ252" s="264">
        <f t="shared" si="1408"/>
        <v>1</v>
      </c>
      <c r="CA252" s="264">
        <f t="shared" si="1409"/>
        <v>1</v>
      </c>
      <c r="CB252" s="264">
        <f t="shared" si="1410"/>
        <v>1</v>
      </c>
      <c r="CC252" s="264">
        <f t="shared" si="1411"/>
        <v>1</v>
      </c>
      <c r="CD252" s="264">
        <f t="shared" si="1412"/>
        <v>1</v>
      </c>
      <c r="CE252" s="264">
        <f t="shared" si="1413"/>
        <v>1</v>
      </c>
      <c r="CF252" s="264">
        <f t="shared" si="1414"/>
        <v>1</v>
      </c>
      <c r="CG252" s="264">
        <f t="shared" si="1415"/>
        <v>1</v>
      </c>
      <c r="CH252" s="264">
        <f t="shared" si="1416"/>
        <v>1</v>
      </c>
      <c r="CI252" s="264">
        <f t="shared" si="1417"/>
        <v>1</v>
      </c>
      <c r="CJ252" s="265">
        <f t="shared" si="1418"/>
        <v>1</v>
      </c>
      <c r="CK252" s="269">
        <f t="array" ref="CK252">IF(ISERROR(SUM($K252:$V252*$BY252:$CJ252)/SUM($K252:$V252)),1,SUM($K252:$V252*$BY252:$CJ252)/SUM($K252:$V252))-1</f>
        <v>0</v>
      </c>
      <c r="CL252" s="234"/>
    </row>
    <row r="253" spans="1:90" ht="15" collapsed="1" x14ac:dyDescent="0.2">
      <c r="A253" s="391"/>
      <c r="B253" s="392" t="str">
        <f>CONCATENATE($AO253,IF($AX253&gt;0,CONCATENATE("  (план ",TEXT(INDEX(indBudX,MATCH($AN253,indPrefixX,0)),"# ##0")," руб.)"),""))</f>
        <v>Vokrugsveta.ru</v>
      </c>
      <c r="C253" s="650" t="s">
        <v>363</v>
      </c>
      <c r="D253" s="429"/>
      <c r="E253" s="430"/>
      <c r="F253" s="430"/>
      <c r="G253" s="431"/>
      <c r="H253" s="431"/>
      <c r="I253" s="431">
        <f t="shared" ref="I253" ca="1" si="1422">$BG253</f>
        <v>0</v>
      </c>
      <c r="J253" s="432">
        <f ca="1">$BH253</f>
        <v>0</v>
      </c>
      <c r="K253" s="433"/>
      <c r="L253" s="434"/>
      <c r="M253" s="434"/>
      <c r="N253" s="434"/>
      <c r="O253" s="434"/>
      <c r="P253" s="434"/>
      <c r="Q253" s="434"/>
      <c r="R253" s="434"/>
      <c r="S253" s="434"/>
      <c r="T253" s="434"/>
      <c r="U253" s="434"/>
      <c r="V253" s="435"/>
      <c r="W253" s="431">
        <f t="shared" ca="1" si="1394"/>
        <v>0</v>
      </c>
      <c r="X253" s="576"/>
      <c r="Y253" s="436">
        <f ca="1">$BE253</f>
        <v>0</v>
      </c>
      <c r="Z253" s="437"/>
      <c r="AA253" s="438"/>
      <c r="AB253" s="438"/>
      <c r="AC253" s="438"/>
      <c r="AD253" s="438"/>
      <c r="AE253" s="438"/>
      <c r="AF253" s="438"/>
      <c r="AG253" s="438"/>
      <c r="AH253" s="438"/>
      <c r="AI253" s="438"/>
      <c r="AJ253" s="438"/>
      <c r="AK253" s="438"/>
      <c r="AL253" s="438"/>
      <c r="AM253" s="439"/>
      <c r="AN253" s="130" t="s">
        <v>132</v>
      </c>
      <c r="AO253" s="130" t="str">
        <f t="shared" si="1419"/>
        <v>Vokrugsveta.ru</v>
      </c>
      <c r="AP253" s="119">
        <f t="shared" si="1156"/>
        <v>4</v>
      </c>
      <c r="AQ253" s="120"/>
      <c r="AR253" s="120"/>
      <c r="AS253" s="122"/>
      <c r="AT253" s="228"/>
      <c r="AU253" s="232"/>
      <c r="AV253" s="179"/>
      <c r="AW253" s="233"/>
      <c r="AX253" s="279">
        <f>IF(ISERROR(INDEX(indBudX,MATCH($AN253,indPrefixX,0))),0,INDEX(indBudX,MATCH($AN253,indPrefixX,0)))</f>
        <v>0</v>
      </c>
      <c r="AY253" s="279">
        <f>IF(ISNUMBER($X253),$X253,0)</f>
        <v>0</v>
      </c>
      <c r="AZ253" s="123"/>
      <c r="BA253" s="125"/>
      <c r="BB253" s="123"/>
      <c r="BC253" s="124"/>
      <c r="BD253" s="464"/>
      <c r="BE253" s="282">
        <f t="shared" ca="1" si="1420"/>
        <v>0</v>
      </c>
      <c r="BF253" s="123">
        <f t="shared" ref="BF253:BI253" ca="1" si="1423">SUM(OFFSET(BF253,1,0,$AP253-1,1))</f>
        <v>0</v>
      </c>
      <c r="BG253" s="123">
        <f t="shared" ca="1" si="1423"/>
        <v>0</v>
      </c>
      <c r="BH253" s="123">
        <f t="shared" ca="1" si="1423"/>
        <v>0</v>
      </c>
      <c r="BI253" s="273">
        <f t="shared" ca="1" si="1423"/>
        <v>0</v>
      </c>
      <c r="BJ253" s="274"/>
      <c r="BK253" s="126"/>
      <c r="BL253" s="127"/>
      <c r="BM253" s="127"/>
      <c r="BN253" s="127"/>
      <c r="BO253" s="127"/>
      <c r="BP253" s="127"/>
      <c r="BQ253" s="127"/>
      <c r="BR253" s="127"/>
      <c r="BS253" s="127"/>
      <c r="BT253" s="127"/>
      <c r="BU253" s="127"/>
      <c r="BV253" s="277"/>
      <c r="BW253" s="279">
        <f t="shared" si="1421"/>
        <v>1</v>
      </c>
      <c r="BX253" s="128"/>
      <c r="BY253" s="260"/>
      <c r="BZ253" s="261"/>
      <c r="CA253" s="261"/>
      <c r="CB253" s="261"/>
      <c r="CC253" s="261"/>
      <c r="CD253" s="261"/>
      <c r="CE253" s="261"/>
      <c r="CF253" s="261"/>
      <c r="CG253" s="261"/>
      <c r="CH253" s="261"/>
      <c r="CI253" s="261"/>
      <c r="CJ253" s="262"/>
      <c r="CK253" s="270"/>
      <c r="CL253" s="234"/>
    </row>
    <row r="254" spans="1:90" ht="12.75" hidden="1" outlineLevel="1" x14ac:dyDescent="0.2">
      <c r="B254" s="440" t="str">
        <f ca="1">INDEX(INDIRECT(LOWER($AN254)&amp;"Price"),$BW254,2)</f>
        <v>Все страницы, 240х400</v>
      </c>
      <c r="C254" s="649" t="str">
        <f t="shared" ref="C254:C256" ca="1" si="1424">$BD254</f>
        <v>х1000</v>
      </c>
      <c r="D254" s="441">
        <f ca="1">$AU254</f>
        <v>600</v>
      </c>
      <c r="E254" s="441">
        <f ca="1">$AV254</f>
        <v>600</v>
      </c>
      <c r="F254" s="441">
        <f ca="1">$AW254</f>
        <v>600</v>
      </c>
      <c r="G254" s="442">
        <f ca="1">$AZ254</f>
        <v>600</v>
      </c>
      <c r="H254" s="442">
        <f ca="1">$BA254</f>
        <v>600</v>
      </c>
      <c r="I254" s="442">
        <f t="shared" ref="I254:I256" ca="1" si="1425">$BG254</f>
        <v>0</v>
      </c>
      <c r="J254" s="443">
        <f t="shared" ref="J254:J256" ca="1" si="1426">$BH254</f>
        <v>0</v>
      </c>
      <c r="K254" s="408"/>
      <c r="L254" s="409"/>
      <c r="M254" s="409"/>
      <c r="N254" s="409"/>
      <c r="O254" s="409"/>
      <c r="P254" s="409"/>
      <c r="Q254" s="409"/>
      <c r="R254" s="409"/>
      <c r="S254" s="409"/>
      <c r="T254" s="409"/>
      <c r="U254" s="409"/>
      <c r="V254" s="410"/>
      <c r="W254" s="442">
        <f t="shared" ca="1" si="1394"/>
        <v>0</v>
      </c>
      <c r="X254" s="442"/>
      <c r="Y254" s="444"/>
      <c r="Z254" s="445">
        <f t="shared" ref="Z254:Z255" si="1427">CK254</f>
        <v>0</v>
      </c>
      <c r="AA254" s="446"/>
      <c r="AB254" s="446"/>
      <c r="AC254" s="446"/>
      <c r="AD254" s="446"/>
      <c r="AE254" s="446"/>
      <c r="AF254" s="446"/>
      <c r="AG254" s="446"/>
      <c r="AH254" s="446"/>
      <c r="AI254" s="446"/>
      <c r="AJ254" s="446"/>
      <c r="AK254" s="446"/>
      <c r="AL254" s="446"/>
      <c r="AM254" s="572"/>
      <c r="AN254" s="351" t="s">
        <v>132</v>
      </c>
      <c r="AO254" s="351" t="str">
        <f t="shared" si="1419"/>
        <v>Vokrugsveta.ru</v>
      </c>
      <c r="AP254" s="115">
        <f t="shared" si="1156"/>
        <v>4</v>
      </c>
      <c r="AQ254" s="31" t="str">
        <f t="shared" ref="AQ254:AR256" ca="1" si="1428">HLOOKUP(AQ$10,INDIRECT(LOWER($AN254)&amp;"Price"),$BW254,FALSE)</f>
        <v>-</v>
      </c>
      <c r="AR254" s="31">
        <f t="shared" ca="1" si="1428"/>
        <v>0</v>
      </c>
      <c r="AS254" s="34">
        <v>0</v>
      </c>
      <c r="AT254" s="229">
        <v>0</v>
      </c>
      <c r="AU254" s="344">
        <f ca="1">HLOOKUP(AU$10,INDIRECT(LOWER($AN254)&amp;"Price"),$BW254,FALSE)</f>
        <v>600</v>
      </c>
      <c r="AV254" s="345">
        <f ca="1">IF(ISERROR($BG254/$BI254),$AU254,$BG254/$BI254)</f>
        <v>600</v>
      </c>
      <c r="AW254" s="346">
        <f ca="1">$AV254*(1-$BE254)</f>
        <v>600</v>
      </c>
      <c r="AX254" s="280"/>
      <c r="AY254" s="280"/>
      <c r="AZ254" s="347">
        <f ca="1">HLOOKUP(AZ$10,INDIRECT(LOWER($AN254)&amp;"Price"),$BW254,FALSE)</f>
        <v>600</v>
      </c>
      <c r="BA254" s="348">
        <f ca="1">$AZ254*(1-$BE254)</f>
        <v>600</v>
      </c>
      <c r="BB254" s="347">
        <f t="shared" ref="BB254:BC256" ca="1" si="1429">HLOOKUP(BB$10,INDIRECT(LOWER($AN254)&amp;"Price"),$BW254,FALSE)</f>
        <v>1</v>
      </c>
      <c r="BC254" s="37" t="str">
        <f t="shared" ca="1" si="1429"/>
        <v>1000 контактов</v>
      </c>
      <c r="BD254" s="229" t="str">
        <f ca="1">IF(ISERROR(VLOOKUP($BC254,typeIndexPair,2,FALSE)),"",VLOOKUP($BC254,typeIndexPair,2,FALSE))</f>
        <v>х1000</v>
      </c>
      <c r="BE254" s="283">
        <f t="shared" ca="1" si="1420"/>
        <v>0</v>
      </c>
      <c r="BF254" s="347">
        <f t="array" aca="1" ref="BF254" ca="1">SUM($K254:$V254*$BK254:$BV254)*$AZ254</f>
        <v>0</v>
      </c>
      <c r="BG254" s="347">
        <f t="array" aca="1" ref="BG254" ca="1">SUM($K254:$V254*$BY254:$CJ254*$BK254:$BV254)*$AZ254*$BX254</f>
        <v>0</v>
      </c>
      <c r="BH254" s="347">
        <f t="array" aca="1" ref="BH254" ca="1">SUM($K254:$V254*$BY254:$CJ254*$BK254:$BV254)*(1-$BE254)*$AZ254*$BX254</f>
        <v>0</v>
      </c>
      <c r="BI254" s="350">
        <f ca="1">SUM($K254:$V254)*$BB254</f>
        <v>0</v>
      </c>
      <c r="BJ254" s="275" t="str">
        <f ca="1">IF(ISERROR(HLOOKUP(BJ$10,INDIRECT(LOWER($AN254)&amp;"Price"),$BW254,FALSE)),"Да",HLOOKUP(BJ$10,INDIRECT(LOWER($AN254)&amp;"Price"),$BW254,FALSE))</f>
        <v>Да</v>
      </c>
      <c r="BK254" s="116">
        <f t="shared" ref="BK254:BV256" ca="1" si="1430">IF($BJ254="Особ.",INDEX(INDIRECT(LOWER($AN254)&amp;"Season2"),BK$9),IF($BJ254="Да",INDEX(INDIRECT(LOWER($AN254)&amp;"Season"),BK$9),100%))</f>
        <v>0.8</v>
      </c>
      <c r="BL254" s="117">
        <f t="shared" ca="1" si="1430"/>
        <v>0.9</v>
      </c>
      <c r="BM254" s="117">
        <f t="shared" ca="1" si="1430"/>
        <v>1</v>
      </c>
      <c r="BN254" s="117">
        <f t="shared" ca="1" si="1430"/>
        <v>1</v>
      </c>
      <c r="BO254" s="117">
        <f t="shared" ca="1" si="1430"/>
        <v>1</v>
      </c>
      <c r="BP254" s="117">
        <f t="shared" ca="1" si="1430"/>
        <v>1</v>
      </c>
      <c r="BQ254" s="117">
        <f t="shared" ca="1" si="1430"/>
        <v>0.9</v>
      </c>
      <c r="BR254" s="117">
        <f t="shared" ca="1" si="1430"/>
        <v>0.9</v>
      </c>
      <c r="BS254" s="117">
        <f t="shared" ca="1" si="1430"/>
        <v>1.3</v>
      </c>
      <c r="BT254" s="117">
        <f t="shared" ca="1" si="1430"/>
        <v>1.3</v>
      </c>
      <c r="BU254" s="117">
        <f t="shared" ca="1" si="1430"/>
        <v>1.3</v>
      </c>
      <c r="BV254" s="278">
        <f t="shared" ca="1" si="1430"/>
        <v>1.3</v>
      </c>
      <c r="BW254" s="280">
        <f t="shared" si="1421"/>
        <v>2</v>
      </c>
      <c r="BX254" s="118">
        <f>IF($AN254="Ya",100%,100%+extraDelayZ)</f>
        <v>1</v>
      </c>
      <c r="BY254" s="263">
        <f t="shared" ref="BY254:BY255" si="1431">(1+AA254)</f>
        <v>1</v>
      </c>
      <c r="BZ254" s="264">
        <f t="shared" ref="BZ254:BZ255" si="1432">(1+AB254)</f>
        <v>1</v>
      </c>
      <c r="CA254" s="264">
        <f t="shared" ref="CA254:CA255" si="1433">(1+AC254)</f>
        <v>1</v>
      </c>
      <c r="CB254" s="264">
        <f t="shared" ref="CB254:CB255" si="1434">(1+AD254)</f>
        <v>1</v>
      </c>
      <c r="CC254" s="264">
        <f t="shared" ref="CC254:CC255" si="1435">(1+AE254)</f>
        <v>1</v>
      </c>
      <c r="CD254" s="264">
        <f t="shared" ref="CD254:CD255" si="1436">(1+AF254)</f>
        <v>1</v>
      </c>
      <c r="CE254" s="264">
        <f t="shared" ref="CE254:CE255" si="1437">(1+AG254)</f>
        <v>1</v>
      </c>
      <c r="CF254" s="264">
        <f t="shared" ref="CF254:CF255" si="1438">(1+AH254)</f>
        <v>1</v>
      </c>
      <c r="CG254" s="264">
        <f t="shared" ref="CG254:CG255" si="1439">(1+AI254)</f>
        <v>1</v>
      </c>
      <c r="CH254" s="264">
        <f t="shared" ref="CH254:CH255" si="1440">(1+AJ254)</f>
        <v>1</v>
      </c>
      <c r="CI254" s="264">
        <f t="shared" ref="CI254:CI255" si="1441">(1+AK254)</f>
        <v>1</v>
      </c>
      <c r="CJ254" s="265">
        <f t="shared" ref="CJ254:CJ255" si="1442">(1+AL254)</f>
        <v>1</v>
      </c>
      <c r="CK254" s="269">
        <f t="array" ref="CK254">IF(ISERROR(SUM($K254:$V254*$BY254:$CJ254)/SUM($K254:$V254)),1,SUM($K254:$V254*$BY254:$CJ254)/SUM($K254:$V254))-1</f>
        <v>0</v>
      </c>
      <c r="CL254" s="234"/>
    </row>
    <row r="255" spans="1:90" ht="12.75" hidden="1" outlineLevel="1" x14ac:dyDescent="0.2">
      <c r="B255" s="447" t="str">
        <f ca="1">INDEX(INDIRECT(LOWER($AN255)&amp;"Price"),$BW255,2)</f>
        <v>Все страницы, 100%х90</v>
      </c>
      <c r="C255" s="649" t="str">
        <f t="shared" ca="1" si="1424"/>
        <v>х1000</v>
      </c>
      <c r="D255" s="448">
        <f ca="1">$AU255</f>
        <v>360</v>
      </c>
      <c r="E255" s="448">
        <f ca="1">$AV255</f>
        <v>360</v>
      </c>
      <c r="F255" s="448">
        <f ca="1">$AW255</f>
        <v>360</v>
      </c>
      <c r="G255" s="449">
        <f ca="1">$AZ255</f>
        <v>360</v>
      </c>
      <c r="H255" s="449">
        <f ca="1">$BA255</f>
        <v>360</v>
      </c>
      <c r="I255" s="442">
        <f t="shared" ca="1" si="1425"/>
        <v>0</v>
      </c>
      <c r="J255" s="443">
        <f t="shared" ca="1" si="1426"/>
        <v>0</v>
      </c>
      <c r="K255" s="417"/>
      <c r="L255" s="418"/>
      <c r="M255" s="418"/>
      <c r="N255" s="418"/>
      <c r="O255" s="418"/>
      <c r="P255" s="418"/>
      <c r="Q255" s="418"/>
      <c r="R255" s="418"/>
      <c r="S255" s="418"/>
      <c r="T255" s="418"/>
      <c r="U255" s="418"/>
      <c r="V255" s="419"/>
      <c r="W255" s="449">
        <f t="shared" ca="1" si="1394"/>
        <v>0</v>
      </c>
      <c r="X255" s="449"/>
      <c r="Y255" s="450"/>
      <c r="Z255" s="445">
        <f t="shared" si="1427"/>
        <v>0</v>
      </c>
      <c r="AA255" s="451"/>
      <c r="AB255" s="451"/>
      <c r="AC255" s="451"/>
      <c r="AD255" s="451"/>
      <c r="AE255" s="451"/>
      <c r="AF255" s="451"/>
      <c r="AG255" s="451"/>
      <c r="AH255" s="451"/>
      <c r="AI255" s="451"/>
      <c r="AJ255" s="451"/>
      <c r="AK255" s="451"/>
      <c r="AL255" s="451"/>
      <c r="AM255" s="573"/>
      <c r="AN255" s="351" t="s">
        <v>132</v>
      </c>
      <c r="AO255" s="351" t="str">
        <f t="shared" si="1419"/>
        <v>Vokrugsveta.ru</v>
      </c>
      <c r="AP255" s="115">
        <f t="shared" si="1156"/>
        <v>4</v>
      </c>
      <c r="AQ255" s="31" t="str">
        <f t="shared" ca="1" si="1428"/>
        <v>-</v>
      </c>
      <c r="AR255" s="31">
        <f t="shared" ca="1" si="1428"/>
        <v>0</v>
      </c>
      <c r="AS255" s="34">
        <v>0</v>
      </c>
      <c r="AT255" s="229">
        <v>0</v>
      </c>
      <c r="AU255" s="344">
        <f ca="1">HLOOKUP(AU$10,INDIRECT(LOWER($AN255)&amp;"Price"),$BW255,FALSE)</f>
        <v>360</v>
      </c>
      <c r="AV255" s="345">
        <f ca="1">IF(ISERROR($BG255/$BI255),$AU255,$BG255/$BI255)</f>
        <v>360</v>
      </c>
      <c r="AW255" s="346">
        <f ca="1">$AV255*(1-$BE255)</f>
        <v>360</v>
      </c>
      <c r="AX255" s="280"/>
      <c r="AY255" s="280"/>
      <c r="AZ255" s="347">
        <f ca="1">HLOOKUP(AZ$10,INDIRECT(LOWER($AN255)&amp;"Price"),$BW255,FALSE)</f>
        <v>360</v>
      </c>
      <c r="BA255" s="348">
        <f ca="1">$AZ255*(1-$BE255)</f>
        <v>360</v>
      </c>
      <c r="BB255" s="347">
        <f t="shared" ca="1" si="1429"/>
        <v>1</v>
      </c>
      <c r="BC255" s="37" t="str">
        <f t="shared" ca="1" si="1429"/>
        <v>1000 контактов</v>
      </c>
      <c r="BD255" s="229" t="str">
        <f ca="1">IF(ISERROR(VLOOKUP($BC255,typeIndexPair,2,FALSE)),"",VLOOKUP($BC255,typeIndexPair,2,FALSE))</f>
        <v>х1000</v>
      </c>
      <c r="BE255" s="283">
        <f t="shared" ca="1" si="1420"/>
        <v>0</v>
      </c>
      <c r="BF255" s="347">
        <f t="array" aca="1" ref="BF255" ca="1">SUM($K255:$V255*$BK255:$BV255)*$AZ255</f>
        <v>0</v>
      </c>
      <c r="BG255" s="347">
        <f t="array" aca="1" ref="BG255" ca="1">SUM($K255:$V255*$BY255:$CJ255*$BK255:$BV255)*$AZ255*$BX255</f>
        <v>0</v>
      </c>
      <c r="BH255" s="347">
        <f t="array" aca="1" ref="BH255" ca="1">SUM($K255:$V255*$BY255:$CJ255*$BK255:$BV255)*(1-$BE255)*$AZ255*$BX255</f>
        <v>0</v>
      </c>
      <c r="BI255" s="350">
        <f ca="1">SUM($K255:$V255)*$BB255</f>
        <v>0</v>
      </c>
      <c r="BJ255" s="275" t="str">
        <f ca="1">IF(ISERROR(HLOOKUP(BJ$10,INDIRECT(LOWER($AN255)&amp;"Price"),$BW255,FALSE)),"Да",HLOOKUP(BJ$10,INDIRECT(LOWER($AN255)&amp;"Price"),$BW255,FALSE))</f>
        <v>Да</v>
      </c>
      <c r="BK255" s="116">
        <f t="shared" ca="1" si="1430"/>
        <v>0.8</v>
      </c>
      <c r="BL255" s="117">
        <f t="shared" ca="1" si="1430"/>
        <v>0.9</v>
      </c>
      <c r="BM255" s="117">
        <f t="shared" ca="1" si="1430"/>
        <v>1</v>
      </c>
      <c r="BN255" s="117">
        <f t="shared" ca="1" si="1430"/>
        <v>1</v>
      </c>
      <c r="BO255" s="117">
        <f t="shared" ca="1" si="1430"/>
        <v>1</v>
      </c>
      <c r="BP255" s="117">
        <f t="shared" ca="1" si="1430"/>
        <v>1</v>
      </c>
      <c r="BQ255" s="117">
        <f t="shared" ca="1" si="1430"/>
        <v>0.9</v>
      </c>
      <c r="BR255" s="117">
        <f t="shared" ca="1" si="1430"/>
        <v>0.9</v>
      </c>
      <c r="BS255" s="117">
        <f t="shared" ca="1" si="1430"/>
        <v>1.3</v>
      </c>
      <c r="BT255" s="117">
        <f t="shared" ca="1" si="1430"/>
        <v>1.3</v>
      </c>
      <c r="BU255" s="117">
        <f t="shared" ca="1" si="1430"/>
        <v>1.3</v>
      </c>
      <c r="BV255" s="278">
        <f t="shared" ca="1" si="1430"/>
        <v>1.3</v>
      </c>
      <c r="BW255" s="280">
        <f t="shared" si="1421"/>
        <v>3</v>
      </c>
      <c r="BX255" s="118">
        <f>IF($AN255="Ya",100%,100%+extraDelayZ)</f>
        <v>1</v>
      </c>
      <c r="BY255" s="263">
        <f t="shared" si="1431"/>
        <v>1</v>
      </c>
      <c r="BZ255" s="264">
        <f t="shared" si="1432"/>
        <v>1</v>
      </c>
      <c r="CA255" s="264">
        <f t="shared" si="1433"/>
        <v>1</v>
      </c>
      <c r="CB255" s="264">
        <f t="shared" si="1434"/>
        <v>1</v>
      </c>
      <c r="CC255" s="264">
        <f t="shared" si="1435"/>
        <v>1</v>
      </c>
      <c r="CD255" s="264">
        <f t="shared" si="1436"/>
        <v>1</v>
      </c>
      <c r="CE255" s="264">
        <f t="shared" si="1437"/>
        <v>1</v>
      </c>
      <c r="CF255" s="264">
        <f t="shared" si="1438"/>
        <v>1</v>
      </c>
      <c r="CG255" s="264">
        <f t="shared" si="1439"/>
        <v>1</v>
      </c>
      <c r="CH255" s="264">
        <f t="shared" si="1440"/>
        <v>1</v>
      </c>
      <c r="CI255" s="264">
        <f t="shared" si="1441"/>
        <v>1</v>
      </c>
      <c r="CJ255" s="265">
        <f t="shared" si="1442"/>
        <v>1</v>
      </c>
      <c r="CK255" s="269">
        <f t="array" ref="CK255">IF(ISERROR(SUM($K255:$V255*$BY255:$CJ255)/SUM($K255:$V255)),1,SUM($K255:$V255*$BY255:$CJ255)/SUM($K255:$V255))-1</f>
        <v>0</v>
      </c>
      <c r="CL255" s="234"/>
    </row>
    <row r="256" spans="1:90" ht="12.75" hidden="1" outlineLevel="1" x14ac:dyDescent="0.2">
      <c r="B256" s="447" t="str">
        <f ca="1">INDEX(INDIRECT(LOWER($AN256)&amp;"Price"),$BW256,2)</f>
        <v>Все страницы, FullScreen</v>
      </c>
      <c r="C256" s="649" t="str">
        <f t="shared" ca="1" si="1424"/>
        <v>х1000</v>
      </c>
      <c r="D256" s="448">
        <f ca="1">$AU256</f>
        <v>1800</v>
      </c>
      <c r="E256" s="448">
        <f ca="1">$AV256</f>
        <v>1800</v>
      </c>
      <c r="F256" s="448">
        <f ca="1">$AW256</f>
        <v>1800</v>
      </c>
      <c r="G256" s="449">
        <f ca="1">$AZ256</f>
        <v>1800</v>
      </c>
      <c r="H256" s="449">
        <f ca="1">$BA256</f>
        <v>1800</v>
      </c>
      <c r="I256" s="442">
        <f t="shared" ca="1" si="1425"/>
        <v>0</v>
      </c>
      <c r="J256" s="443">
        <f t="shared" ca="1" si="1426"/>
        <v>0</v>
      </c>
      <c r="K256" s="417"/>
      <c r="L256" s="418"/>
      <c r="M256" s="418"/>
      <c r="N256" s="418"/>
      <c r="O256" s="418"/>
      <c r="P256" s="418"/>
      <c r="Q256" s="418"/>
      <c r="R256" s="418"/>
      <c r="S256" s="418"/>
      <c r="T256" s="418"/>
      <c r="U256" s="418"/>
      <c r="V256" s="419"/>
      <c r="W256" s="449">
        <f t="shared" ca="1" si="1394"/>
        <v>0</v>
      </c>
      <c r="X256" s="449"/>
      <c r="Y256" s="450"/>
      <c r="Z256" s="445">
        <f t="shared" ref="Z256" si="1443">CK256</f>
        <v>0</v>
      </c>
      <c r="AA256" s="451"/>
      <c r="AB256" s="451"/>
      <c r="AC256" s="451"/>
      <c r="AD256" s="451"/>
      <c r="AE256" s="451"/>
      <c r="AF256" s="451"/>
      <c r="AG256" s="451"/>
      <c r="AH256" s="451"/>
      <c r="AI256" s="451"/>
      <c r="AJ256" s="451"/>
      <c r="AK256" s="451"/>
      <c r="AL256" s="451"/>
      <c r="AM256" s="573"/>
      <c r="AN256" s="351" t="s">
        <v>132</v>
      </c>
      <c r="AO256" s="351" t="str">
        <f t="shared" si="1419"/>
        <v>Vokrugsveta.ru</v>
      </c>
      <c r="AP256" s="115">
        <f t="shared" si="1156"/>
        <v>4</v>
      </c>
      <c r="AQ256" s="31" t="str">
        <f t="shared" ca="1" si="1428"/>
        <v>-</v>
      </c>
      <c r="AR256" s="31" t="str">
        <f t="shared" ca="1" si="1428"/>
        <v>Вкл</v>
      </c>
      <c r="AS256" s="34">
        <v>0</v>
      </c>
      <c r="AT256" s="229">
        <v>0</v>
      </c>
      <c r="AU256" s="344">
        <f ca="1">HLOOKUP(AU$10,INDIRECT(LOWER($AN256)&amp;"Price"),$BW256,FALSE)</f>
        <v>1800</v>
      </c>
      <c r="AV256" s="345">
        <f ca="1">IF(ISERROR($BG256/$BI256),$AU256,$BG256/$BI256)</f>
        <v>1800</v>
      </c>
      <c r="AW256" s="346">
        <f ca="1">$AV256*(1-$BE256)</f>
        <v>1800</v>
      </c>
      <c r="AX256" s="280"/>
      <c r="AY256" s="280"/>
      <c r="AZ256" s="347">
        <f ca="1">HLOOKUP(AZ$10,INDIRECT(LOWER($AN256)&amp;"Price"),$BW256,FALSE)</f>
        <v>1800</v>
      </c>
      <c r="BA256" s="348">
        <f ca="1">$AZ256*(1-$BE256)</f>
        <v>1800</v>
      </c>
      <c r="BB256" s="347">
        <f t="shared" ca="1" si="1429"/>
        <v>1</v>
      </c>
      <c r="BC256" s="37" t="str">
        <f t="shared" ca="1" si="1429"/>
        <v>1000 контактов</v>
      </c>
      <c r="BD256" s="229" t="str">
        <f ca="1">IF(ISERROR(VLOOKUP($BC256,typeIndexPair,2,FALSE)),"",VLOOKUP($BC256,typeIndexPair,2,FALSE))</f>
        <v>х1000</v>
      </c>
      <c r="BE256" s="283">
        <f t="shared" ca="1" si="1420"/>
        <v>0</v>
      </c>
      <c r="BF256" s="347">
        <f t="array" aca="1" ref="BF256" ca="1">SUM($K256:$V256*$BK256:$BV256)*$AZ256</f>
        <v>0</v>
      </c>
      <c r="BG256" s="347">
        <f t="array" aca="1" ref="BG256" ca="1">SUM($K256:$V256*$BY256:$CJ256*$BK256:$BV256)*$AZ256*$BX256</f>
        <v>0</v>
      </c>
      <c r="BH256" s="347">
        <f t="array" aca="1" ref="BH256" ca="1">SUM($K256:$V256*$BY256:$CJ256*$BK256:$BV256)*(1-$BE256)*$AZ256*$BX256</f>
        <v>0</v>
      </c>
      <c r="BI256" s="350">
        <f ca="1">SUM($K256:$V256)*$BB256</f>
        <v>0</v>
      </c>
      <c r="BJ256" s="275" t="str">
        <f ca="1">IF(ISERROR(HLOOKUP(BJ$10,INDIRECT(LOWER($AN256)&amp;"Price"),$BW256,FALSE)),"Да",HLOOKUP(BJ$10,INDIRECT(LOWER($AN256)&amp;"Price"),$BW256,FALSE))</f>
        <v>Да</v>
      </c>
      <c r="BK256" s="116">
        <f t="shared" ca="1" si="1430"/>
        <v>0.8</v>
      </c>
      <c r="BL256" s="117">
        <f t="shared" ca="1" si="1430"/>
        <v>0.9</v>
      </c>
      <c r="BM256" s="117">
        <f t="shared" ca="1" si="1430"/>
        <v>1</v>
      </c>
      <c r="BN256" s="117">
        <f t="shared" ca="1" si="1430"/>
        <v>1</v>
      </c>
      <c r="BO256" s="117">
        <f t="shared" ca="1" si="1430"/>
        <v>1</v>
      </c>
      <c r="BP256" s="117">
        <f t="shared" ca="1" si="1430"/>
        <v>1</v>
      </c>
      <c r="BQ256" s="117">
        <f t="shared" ca="1" si="1430"/>
        <v>0.9</v>
      </c>
      <c r="BR256" s="117">
        <f t="shared" ca="1" si="1430"/>
        <v>0.9</v>
      </c>
      <c r="BS256" s="117">
        <f t="shared" ca="1" si="1430"/>
        <v>1.3</v>
      </c>
      <c r="BT256" s="117">
        <f t="shared" ca="1" si="1430"/>
        <v>1.3</v>
      </c>
      <c r="BU256" s="117">
        <f t="shared" ca="1" si="1430"/>
        <v>1.3</v>
      </c>
      <c r="BV256" s="278">
        <f t="shared" ca="1" si="1430"/>
        <v>1.3</v>
      </c>
      <c r="BW256" s="280">
        <f t="shared" si="1421"/>
        <v>4</v>
      </c>
      <c r="BX256" s="118">
        <f>IF($AN256="Ya",100%,100%+extraDelayZ)</f>
        <v>1</v>
      </c>
      <c r="BY256" s="263">
        <f t="shared" ref="BY256" si="1444">(1+AA256)</f>
        <v>1</v>
      </c>
      <c r="BZ256" s="264">
        <f t="shared" ref="BZ256" si="1445">(1+AB256)</f>
        <v>1</v>
      </c>
      <c r="CA256" s="264">
        <f t="shared" ref="CA256" si="1446">(1+AC256)</f>
        <v>1</v>
      </c>
      <c r="CB256" s="264">
        <f t="shared" ref="CB256" si="1447">(1+AD256)</f>
        <v>1</v>
      </c>
      <c r="CC256" s="264">
        <f t="shared" ref="CC256" si="1448">(1+AE256)</f>
        <v>1</v>
      </c>
      <c r="CD256" s="264">
        <f t="shared" ref="CD256" si="1449">(1+AF256)</f>
        <v>1</v>
      </c>
      <c r="CE256" s="264">
        <f t="shared" ref="CE256" si="1450">(1+AG256)</f>
        <v>1</v>
      </c>
      <c r="CF256" s="264">
        <f t="shared" ref="CF256" si="1451">(1+AH256)</f>
        <v>1</v>
      </c>
      <c r="CG256" s="264">
        <f t="shared" ref="CG256" si="1452">(1+AI256)</f>
        <v>1</v>
      </c>
      <c r="CH256" s="264">
        <f t="shared" ref="CH256" si="1453">(1+AJ256)</f>
        <v>1</v>
      </c>
      <c r="CI256" s="264">
        <f t="shared" ref="CI256" si="1454">(1+AK256)</f>
        <v>1</v>
      </c>
      <c r="CJ256" s="265">
        <f t="shared" ref="CJ256" si="1455">(1+AL256)</f>
        <v>1</v>
      </c>
      <c r="CK256" s="269">
        <f t="array" ref="CK256">IF(ISERROR(SUM($K256:$V256*$BY256:$CJ256)/SUM($K256:$V256)),1,SUM($K256:$V256*$BY256:$CJ256)/SUM($K256:$V256))-1</f>
        <v>0</v>
      </c>
      <c r="CL256" s="234"/>
    </row>
    <row r="257" spans="1:90" ht="15" collapsed="1" x14ac:dyDescent="0.2">
      <c r="A257" s="391"/>
      <c r="B257" s="392" t="str">
        <f>CONCATENATE($AO257,IF($AX257&gt;0,CONCATENATE("  (план ",TEXT(INDEX(indBudX,MATCH($AN257,indPrefixX,0)),"# ##0")," руб.)"),""))</f>
        <v>Friday.ru</v>
      </c>
      <c r="C257" s="650" t="s">
        <v>363</v>
      </c>
      <c r="D257" s="429"/>
      <c r="E257" s="430"/>
      <c r="F257" s="430"/>
      <c r="G257" s="431"/>
      <c r="H257" s="431"/>
      <c r="I257" s="431">
        <f t="shared" ref="I257" ca="1" si="1456">$BG257</f>
        <v>0</v>
      </c>
      <c r="J257" s="432">
        <f ca="1">$BH257</f>
        <v>0</v>
      </c>
      <c r="K257" s="433"/>
      <c r="L257" s="434"/>
      <c r="M257" s="434"/>
      <c r="N257" s="434"/>
      <c r="O257" s="434"/>
      <c r="P257" s="434"/>
      <c r="Q257" s="434"/>
      <c r="R257" s="434"/>
      <c r="S257" s="434"/>
      <c r="T257" s="434"/>
      <c r="U257" s="434"/>
      <c r="V257" s="435"/>
      <c r="W257" s="431">
        <f t="shared" ca="1" si="1394"/>
        <v>0</v>
      </c>
      <c r="X257" s="576"/>
      <c r="Y257" s="436">
        <f ca="1">$BE257</f>
        <v>0</v>
      </c>
      <c r="Z257" s="437"/>
      <c r="AA257" s="438"/>
      <c r="AB257" s="438"/>
      <c r="AC257" s="438"/>
      <c r="AD257" s="438"/>
      <c r="AE257" s="438"/>
      <c r="AF257" s="438"/>
      <c r="AG257" s="438"/>
      <c r="AH257" s="438"/>
      <c r="AI257" s="438"/>
      <c r="AJ257" s="438"/>
      <c r="AK257" s="438"/>
      <c r="AL257" s="438"/>
      <c r="AM257" s="439"/>
      <c r="AN257" s="130" t="s">
        <v>861</v>
      </c>
      <c r="AO257" s="130" t="str">
        <f t="shared" si="1419"/>
        <v>Friday.ru</v>
      </c>
      <c r="AP257" s="119">
        <f t="shared" si="1156"/>
        <v>15</v>
      </c>
      <c r="AQ257" s="120"/>
      <c r="AR257" s="120"/>
      <c r="AS257" s="121"/>
      <c r="AT257" s="228"/>
      <c r="AU257" s="232"/>
      <c r="AV257" s="179"/>
      <c r="AW257" s="233"/>
      <c r="AX257" s="279">
        <f>IF(ISERROR(INDEX(indBudX,MATCH($AN257,indPrefixX,0))),0,INDEX(indBudX,MATCH($AN257,indPrefixX,0)))</f>
        <v>0</v>
      </c>
      <c r="AY257" s="279">
        <f>IF(ISNUMBER($X257),$X257,0)</f>
        <v>0</v>
      </c>
      <c r="AZ257" s="123"/>
      <c r="BA257" s="125"/>
      <c r="BB257" s="123"/>
      <c r="BC257" s="124"/>
      <c r="BD257" s="464"/>
      <c r="BE257" s="282">
        <f t="shared" ca="1" si="1420"/>
        <v>0</v>
      </c>
      <c r="BF257" s="123">
        <f t="shared" ref="BF257:BI257" ca="1" si="1457">SUM(OFFSET(BF257,1,0,$AP257-1,1))</f>
        <v>0</v>
      </c>
      <c r="BG257" s="123">
        <f t="shared" ca="1" si="1457"/>
        <v>0</v>
      </c>
      <c r="BH257" s="123">
        <f t="shared" ca="1" si="1457"/>
        <v>0</v>
      </c>
      <c r="BI257" s="273">
        <f t="shared" ca="1" si="1457"/>
        <v>0</v>
      </c>
      <c r="BJ257" s="274"/>
      <c r="BK257" s="126"/>
      <c r="BL257" s="127"/>
      <c r="BM257" s="127"/>
      <c r="BN257" s="127"/>
      <c r="BO257" s="127"/>
      <c r="BP257" s="127"/>
      <c r="BQ257" s="127"/>
      <c r="BR257" s="127"/>
      <c r="BS257" s="127"/>
      <c r="BT257" s="127"/>
      <c r="BU257" s="127"/>
      <c r="BV257" s="277"/>
      <c r="BW257" s="279">
        <f t="shared" si="1421"/>
        <v>1</v>
      </c>
      <c r="BX257" s="128"/>
      <c r="BY257" s="260"/>
      <c r="BZ257" s="261"/>
      <c r="CA257" s="261"/>
      <c r="CB257" s="261"/>
      <c r="CC257" s="261"/>
      <c r="CD257" s="261"/>
      <c r="CE257" s="261"/>
      <c r="CF257" s="261"/>
      <c r="CG257" s="261"/>
      <c r="CH257" s="261"/>
      <c r="CI257" s="261"/>
      <c r="CJ257" s="262"/>
      <c r="CK257" s="270"/>
      <c r="CL257" s="234"/>
    </row>
    <row r="258" spans="1:90" ht="12.75" hidden="1" outlineLevel="1" x14ac:dyDescent="0.2">
      <c r="B258" s="404" t="str">
        <f t="shared" ref="B258:B278" ca="1" si="1458">INDEX(INDIRECT(LOWER($AN258)&amp;"Price"),$BW258,2)</f>
        <v>Friday.ru, 240x400, динамика</v>
      </c>
      <c r="C258" s="649" t="str">
        <f t="shared" ref="C258:C278" ca="1" si="1459">$BD258</f>
        <v>х1000</v>
      </c>
      <c r="D258" s="405">
        <f t="shared" ref="D258:D278" ca="1" si="1460">$AU258</f>
        <v>400</v>
      </c>
      <c r="E258" s="405">
        <f t="shared" ref="E258:E278" ca="1" si="1461">$AV258</f>
        <v>400</v>
      </c>
      <c r="F258" s="405">
        <f t="shared" ref="F258:F278" ca="1" si="1462">$AW258</f>
        <v>400</v>
      </c>
      <c r="G258" s="406">
        <f t="shared" ref="G258:G278" ca="1" si="1463">$AZ258</f>
        <v>400</v>
      </c>
      <c r="H258" s="406">
        <f t="shared" ref="H258:H278" ca="1" si="1464">$BA258</f>
        <v>400</v>
      </c>
      <c r="I258" s="406">
        <f t="shared" ref="I258:I279" ca="1" si="1465">$BG258</f>
        <v>0</v>
      </c>
      <c r="J258" s="407">
        <f t="shared" ref="J258:J278" ca="1" si="1466">$BH258</f>
        <v>0</v>
      </c>
      <c r="K258" s="408"/>
      <c r="L258" s="409"/>
      <c r="M258" s="409"/>
      <c r="N258" s="409"/>
      <c r="O258" s="409"/>
      <c r="P258" s="409"/>
      <c r="Q258" s="409"/>
      <c r="R258" s="409"/>
      <c r="S258" s="409"/>
      <c r="T258" s="409"/>
      <c r="U258" s="409"/>
      <c r="V258" s="410"/>
      <c r="W258" s="406">
        <f t="shared" ca="1" si="1394"/>
        <v>0</v>
      </c>
      <c r="X258" s="406"/>
      <c r="Y258" s="411"/>
      <c r="Z258" s="412">
        <f t="shared" ref="Z258:Z271" si="1467">CK258</f>
        <v>0</v>
      </c>
      <c r="AA258" s="413"/>
      <c r="AB258" s="413"/>
      <c r="AC258" s="413"/>
      <c r="AD258" s="413"/>
      <c r="AE258" s="413"/>
      <c r="AF258" s="413"/>
      <c r="AG258" s="413"/>
      <c r="AH258" s="413"/>
      <c r="AI258" s="413"/>
      <c r="AJ258" s="413"/>
      <c r="AK258" s="413"/>
      <c r="AL258" s="413"/>
      <c r="AM258" s="572"/>
      <c r="AN258" s="351" t="s">
        <v>861</v>
      </c>
      <c r="AO258" s="351" t="str">
        <f t="shared" si="1419"/>
        <v>Friday.ru</v>
      </c>
      <c r="AP258" s="115">
        <f t="shared" si="1156"/>
        <v>15</v>
      </c>
      <c r="AQ258" s="31">
        <f t="shared" ref="AQ258:AR278" ca="1" si="1468">HLOOKUP(AQ$10,INDIRECT(LOWER($AN258)&amp;"Price"),$BW258,FALSE)</f>
        <v>0.25</v>
      </c>
      <c r="AR258" s="31">
        <f t="shared" ca="1" si="1468"/>
        <v>0</v>
      </c>
      <c r="AS258" s="35">
        <v>0</v>
      </c>
      <c r="AT258" s="229">
        <v>0</v>
      </c>
      <c r="AU258" s="344">
        <f t="shared" ref="AU258:AU278" ca="1" si="1469">HLOOKUP(AU$10,INDIRECT(LOWER($AN258)&amp;"Price"),$BW258,FALSE)</f>
        <v>400</v>
      </c>
      <c r="AV258" s="345">
        <f t="shared" ref="AV258:AV278" ca="1" si="1470">IF(ISERROR($BG258/$BI258),$AU258,$BG258/$BI258)</f>
        <v>400</v>
      </c>
      <c r="AW258" s="346">
        <f t="shared" ref="AW258:AW278" ca="1" si="1471">$AV258*(1-$BE258)</f>
        <v>400</v>
      </c>
      <c r="AX258" s="280"/>
      <c r="AY258" s="280"/>
      <c r="AZ258" s="347">
        <f t="shared" ref="AZ258:AZ278" ca="1" si="1472">HLOOKUP(AZ$10,INDIRECT(LOWER($AN258)&amp;"Price"),$BW258,FALSE)</f>
        <v>400</v>
      </c>
      <c r="BA258" s="348">
        <f t="shared" ref="BA258:BA278" ca="1" si="1473">$AZ258*(1-$BE258)</f>
        <v>400</v>
      </c>
      <c r="BB258" s="347">
        <f t="shared" ref="BB258:BC278" ca="1" si="1474">HLOOKUP(BB$10,INDIRECT(LOWER($AN258)&amp;"Price"),$BW258,FALSE)</f>
        <v>1</v>
      </c>
      <c r="BC258" s="37" t="str">
        <f t="shared" ca="1" si="1474"/>
        <v>1000 контактов</v>
      </c>
      <c r="BD258" s="229" t="str">
        <f t="shared" ref="BD258:BD278" ca="1" si="1475">IF(ISERROR(VLOOKUP($BC258,typeIndexPair,2,FALSE)),"",VLOOKUP($BC258,typeIndexPair,2,FALSE))</f>
        <v>х1000</v>
      </c>
      <c r="BE258" s="283">
        <f t="shared" ca="1" si="1420"/>
        <v>0</v>
      </c>
      <c r="BF258" s="347">
        <f t="array" aca="1" ref="BF258" ca="1">SUM($K258:$V258*$BK258:$BV258)*$AZ258</f>
        <v>0</v>
      </c>
      <c r="BG258" s="347">
        <f t="array" aca="1" ref="BG258" ca="1">SUM($K258:$V258*$BY258:$CJ258*$BK258:$BV258)*$AZ258*$BX258</f>
        <v>0</v>
      </c>
      <c r="BH258" s="347">
        <f t="array" aca="1" ref="BH258" ca="1">SUM($K258:$V258*$BY258:$CJ258*$BK258:$BV258)*(1-$BE258)*$AZ258*$BX258</f>
        <v>0</v>
      </c>
      <c r="BI258" s="350">
        <f t="shared" ref="BI258:BI278" ca="1" si="1476">SUM($K258:$V258)*$BB258</f>
        <v>0</v>
      </c>
      <c r="BJ258" s="275" t="str">
        <f t="shared" ref="BJ258:BJ278" ca="1" si="1477">IF(ISERROR(HLOOKUP(BJ$10,INDIRECT(LOWER($AN258)&amp;"Price"),$BW258,FALSE)),"Да",HLOOKUP(BJ$10,INDIRECT(LOWER($AN258)&amp;"Price"),$BW258,FALSE))</f>
        <v>Да</v>
      </c>
      <c r="BK258" s="116">
        <f t="shared" ref="BK258:BV267" ca="1" si="1478">IF($BJ258="Особ.",INDEX(INDIRECT(LOWER($AN258)&amp;"Season2"),BK$9),IF($BJ258="Да",INDEX(INDIRECT(LOWER($AN258)&amp;"Season"),BK$9),100%))</f>
        <v>0.8</v>
      </c>
      <c r="BL258" s="117">
        <f t="shared" ca="1" si="1478"/>
        <v>0.9</v>
      </c>
      <c r="BM258" s="117">
        <f t="shared" ca="1" si="1478"/>
        <v>1</v>
      </c>
      <c r="BN258" s="117">
        <f t="shared" ca="1" si="1478"/>
        <v>1</v>
      </c>
      <c r="BO258" s="117">
        <f t="shared" ca="1" si="1478"/>
        <v>1</v>
      </c>
      <c r="BP258" s="117">
        <f t="shared" ca="1" si="1478"/>
        <v>1</v>
      </c>
      <c r="BQ258" s="117">
        <f t="shared" ca="1" si="1478"/>
        <v>0.9</v>
      </c>
      <c r="BR258" s="117">
        <f t="shared" ca="1" si="1478"/>
        <v>0.9</v>
      </c>
      <c r="BS258" s="117">
        <f t="shared" ca="1" si="1478"/>
        <v>1.3</v>
      </c>
      <c r="BT258" s="117">
        <f t="shared" ca="1" si="1478"/>
        <v>1.3</v>
      </c>
      <c r="BU258" s="117">
        <f t="shared" ca="1" si="1478"/>
        <v>1.3</v>
      </c>
      <c r="BV258" s="278">
        <f t="shared" ca="1" si="1478"/>
        <v>1.3</v>
      </c>
      <c r="BW258" s="280">
        <f t="shared" si="1421"/>
        <v>2</v>
      </c>
      <c r="BX258" s="118">
        <f>IF($AN258="Ya",100%,100%+extraDelayZ)</f>
        <v>1</v>
      </c>
      <c r="BY258" s="263">
        <f t="shared" ref="BY258:BY271" si="1479">(1+AA258)</f>
        <v>1</v>
      </c>
      <c r="BZ258" s="264">
        <f t="shared" ref="BZ258:BZ271" si="1480">(1+AB258)</f>
        <v>1</v>
      </c>
      <c r="CA258" s="264">
        <f t="shared" ref="CA258:CA271" si="1481">(1+AC258)</f>
        <v>1</v>
      </c>
      <c r="CB258" s="264">
        <f t="shared" ref="CB258:CB271" si="1482">(1+AD258)</f>
        <v>1</v>
      </c>
      <c r="CC258" s="264">
        <f t="shared" ref="CC258:CC271" si="1483">(1+AE258)</f>
        <v>1</v>
      </c>
      <c r="CD258" s="264">
        <f t="shared" ref="CD258:CD271" si="1484">(1+AF258)</f>
        <v>1</v>
      </c>
      <c r="CE258" s="264">
        <f t="shared" ref="CE258:CE271" si="1485">(1+AG258)</f>
        <v>1</v>
      </c>
      <c r="CF258" s="264">
        <f t="shared" ref="CF258:CF271" si="1486">(1+AH258)</f>
        <v>1</v>
      </c>
      <c r="CG258" s="264">
        <f t="shared" ref="CG258:CG271" si="1487">(1+AI258)</f>
        <v>1</v>
      </c>
      <c r="CH258" s="264">
        <f t="shared" ref="CH258:CH271" si="1488">(1+AJ258)</f>
        <v>1</v>
      </c>
      <c r="CI258" s="264">
        <f t="shared" ref="CI258:CI271" si="1489">(1+AK258)</f>
        <v>1</v>
      </c>
      <c r="CJ258" s="265">
        <f t="shared" ref="CJ258:CJ271" si="1490">(1+AL258)</f>
        <v>1</v>
      </c>
      <c r="CK258" s="269">
        <f t="array" ref="CK258">IF(ISERROR(SUM($K258:$V258*$BY258:$CJ258)/SUM($K258:$V258)),1,SUM($K258:$V258*$BY258:$CJ258)/SUM($K258:$V258))-1</f>
        <v>0</v>
      </c>
      <c r="CL258" s="234"/>
    </row>
    <row r="259" spans="1:90" ht="12.75" hidden="1" outlineLevel="1" x14ac:dyDescent="0.2">
      <c r="B259" s="404" t="str">
        <f t="shared" ca="1" si="1458"/>
        <v>Friday.ru+2х2+tv3, 240x400, Пакет "Охват 1000К"</v>
      </c>
      <c r="C259" s="649" t="str">
        <f t="shared" ca="1" si="1459"/>
        <v>Пакет</v>
      </c>
      <c r="D259" s="405">
        <f t="shared" ca="1" si="1460"/>
        <v>300</v>
      </c>
      <c r="E259" s="405">
        <f t="shared" ca="1" si="1461"/>
        <v>300</v>
      </c>
      <c r="F259" s="405">
        <f t="shared" ca="1" si="1462"/>
        <v>300</v>
      </c>
      <c r="G259" s="406">
        <f t="shared" ca="1" si="1463"/>
        <v>300000</v>
      </c>
      <c r="H259" s="406">
        <f t="shared" ca="1" si="1464"/>
        <v>300000</v>
      </c>
      <c r="I259" s="406">
        <f t="shared" ca="1" si="1465"/>
        <v>0</v>
      </c>
      <c r="J259" s="407">
        <f t="shared" ca="1" si="1466"/>
        <v>0</v>
      </c>
      <c r="K259" s="408"/>
      <c r="L259" s="409"/>
      <c r="M259" s="409"/>
      <c r="N259" s="409"/>
      <c r="O259" s="409"/>
      <c r="P259" s="409"/>
      <c r="Q259" s="409"/>
      <c r="R259" s="409"/>
      <c r="S259" s="409"/>
      <c r="T259" s="409"/>
      <c r="U259" s="409"/>
      <c r="V259" s="410"/>
      <c r="W259" s="406">
        <f t="shared" ca="1" si="1394"/>
        <v>0</v>
      </c>
      <c r="X259" s="406"/>
      <c r="Y259" s="411"/>
      <c r="Z259" s="412">
        <f t="shared" si="1467"/>
        <v>0</v>
      </c>
      <c r="AA259" s="413"/>
      <c r="AB259" s="413"/>
      <c r="AC259" s="413"/>
      <c r="AD259" s="413"/>
      <c r="AE259" s="413"/>
      <c r="AF259" s="413"/>
      <c r="AG259" s="413"/>
      <c r="AH259" s="413"/>
      <c r="AI259" s="413"/>
      <c r="AJ259" s="413"/>
      <c r="AK259" s="413"/>
      <c r="AL259" s="413"/>
      <c r="AM259" s="572"/>
      <c r="AN259" s="351" t="s">
        <v>861</v>
      </c>
      <c r="AO259" s="351" t="str">
        <f t="shared" si="1419"/>
        <v>Friday.ru</v>
      </c>
      <c r="AP259" s="115">
        <f t="shared" si="1156"/>
        <v>15</v>
      </c>
      <c r="AQ259" s="31" t="str">
        <f t="shared" ca="1" si="1468"/>
        <v>-</v>
      </c>
      <c r="AR259" s="31" t="str">
        <f t="shared" ca="1" si="1468"/>
        <v>-</v>
      </c>
      <c r="AS259" s="34">
        <v>0</v>
      </c>
      <c r="AT259" s="229">
        <v>0</v>
      </c>
      <c r="AU259" s="344">
        <f t="shared" ca="1" si="1469"/>
        <v>300</v>
      </c>
      <c r="AV259" s="345">
        <f t="shared" ca="1" si="1470"/>
        <v>300</v>
      </c>
      <c r="AW259" s="346">
        <f t="shared" ca="1" si="1471"/>
        <v>300</v>
      </c>
      <c r="AX259" s="280"/>
      <c r="AY259" s="280"/>
      <c r="AZ259" s="347">
        <f t="shared" ca="1" si="1472"/>
        <v>300000</v>
      </c>
      <c r="BA259" s="348">
        <f t="shared" ca="1" si="1473"/>
        <v>300000</v>
      </c>
      <c r="BB259" s="347">
        <f t="shared" ca="1" si="1474"/>
        <v>1000</v>
      </c>
      <c r="BC259" s="37" t="str">
        <f t="shared" ca="1" si="1474"/>
        <v>Пакет</v>
      </c>
      <c r="BD259" s="229" t="str">
        <f t="shared" ca="1" si="1475"/>
        <v>Пакет</v>
      </c>
      <c r="BE259" s="283">
        <f t="shared" ca="1" si="1420"/>
        <v>0</v>
      </c>
      <c r="BF259" s="347">
        <f t="array" aca="1" ref="BF259" ca="1">SUM($K259:$V259*$BK259:$BV259)*$AZ259</f>
        <v>0</v>
      </c>
      <c r="BG259" s="347">
        <f t="array" aca="1" ref="BG259" ca="1">SUM($K259:$V259*$BY259:$CJ259*$BK259:$BV259)*$AZ259*$BX259</f>
        <v>0</v>
      </c>
      <c r="BH259" s="347">
        <f t="array" aca="1" ref="BH259" ca="1">SUM($K259:$V259*$BY259:$CJ259*$BK259:$BV259)*(1-$BE259)*$AZ259*$BX259</f>
        <v>0</v>
      </c>
      <c r="BI259" s="350">
        <f t="shared" ca="1" si="1476"/>
        <v>0</v>
      </c>
      <c r="BJ259" s="275" t="str">
        <f t="shared" ca="1" si="1477"/>
        <v>Да</v>
      </c>
      <c r="BK259" s="116">
        <f t="shared" ca="1" si="1478"/>
        <v>0.8</v>
      </c>
      <c r="BL259" s="117">
        <f t="shared" ca="1" si="1478"/>
        <v>0.9</v>
      </c>
      <c r="BM259" s="117">
        <f t="shared" ca="1" si="1478"/>
        <v>1</v>
      </c>
      <c r="BN259" s="117">
        <f t="shared" ca="1" si="1478"/>
        <v>1</v>
      </c>
      <c r="BO259" s="117">
        <f t="shared" ca="1" si="1478"/>
        <v>1</v>
      </c>
      <c r="BP259" s="117">
        <f t="shared" ca="1" si="1478"/>
        <v>1</v>
      </c>
      <c r="BQ259" s="117">
        <f t="shared" ca="1" si="1478"/>
        <v>0.9</v>
      </c>
      <c r="BR259" s="117">
        <f t="shared" ca="1" si="1478"/>
        <v>0.9</v>
      </c>
      <c r="BS259" s="117">
        <f t="shared" ca="1" si="1478"/>
        <v>1.3</v>
      </c>
      <c r="BT259" s="117">
        <f t="shared" ca="1" si="1478"/>
        <v>1.3</v>
      </c>
      <c r="BU259" s="117">
        <f t="shared" ca="1" si="1478"/>
        <v>1.3</v>
      </c>
      <c r="BV259" s="278">
        <f t="shared" ca="1" si="1478"/>
        <v>1.3</v>
      </c>
      <c r="BW259" s="280">
        <f t="shared" si="1421"/>
        <v>3</v>
      </c>
      <c r="BX259" s="118">
        <f>IF($AN259="Ya",100%,100%+extraDelayZ)</f>
        <v>1</v>
      </c>
      <c r="BY259" s="263">
        <f t="shared" si="1479"/>
        <v>1</v>
      </c>
      <c r="BZ259" s="264">
        <f t="shared" si="1480"/>
        <v>1</v>
      </c>
      <c r="CA259" s="264">
        <f t="shared" si="1481"/>
        <v>1</v>
      </c>
      <c r="CB259" s="264">
        <f t="shared" si="1482"/>
        <v>1</v>
      </c>
      <c r="CC259" s="264">
        <f t="shared" si="1483"/>
        <v>1</v>
      </c>
      <c r="CD259" s="264">
        <f t="shared" si="1484"/>
        <v>1</v>
      </c>
      <c r="CE259" s="264">
        <f t="shared" si="1485"/>
        <v>1</v>
      </c>
      <c r="CF259" s="264">
        <f t="shared" si="1486"/>
        <v>1</v>
      </c>
      <c r="CG259" s="264">
        <f t="shared" si="1487"/>
        <v>1</v>
      </c>
      <c r="CH259" s="264">
        <f t="shared" si="1488"/>
        <v>1</v>
      </c>
      <c r="CI259" s="264">
        <f t="shared" si="1489"/>
        <v>1</v>
      </c>
      <c r="CJ259" s="265">
        <f t="shared" si="1490"/>
        <v>1</v>
      </c>
      <c r="CK259" s="269">
        <f t="array" ref="CK259">IF(ISERROR(SUM($K259:$V259*$BY259:$CJ259)/SUM($K259:$V259)),1,SUM($K259:$V259*$BY259:$CJ259)/SUM($K259:$V259))-1</f>
        <v>0</v>
      </c>
      <c r="CL259" s="234"/>
    </row>
    <row r="260" spans="1:90" ht="12.75" hidden="1" outlineLevel="1" x14ac:dyDescent="0.2">
      <c r="B260" s="404" t="str">
        <f t="shared" ca="1" si="1458"/>
        <v>Friday.ru+2х2+tv3, 240x400, Пакет "Охват 1500К"</v>
      </c>
      <c r="C260" s="649" t="str">
        <f t="shared" ca="1" si="1459"/>
        <v>Пакет</v>
      </c>
      <c r="D260" s="405">
        <f t="shared" ca="1" si="1460"/>
        <v>250</v>
      </c>
      <c r="E260" s="405">
        <f t="shared" ca="1" si="1461"/>
        <v>250</v>
      </c>
      <c r="F260" s="405">
        <f t="shared" ca="1" si="1462"/>
        <v>250</v>
      </c>
      <c r="G260" s="406">
        <f t="shared" ca="1" si="1463"/>
        <v>375000</v>
      </c>
      <c r="H260" s="406">
        <f t="shared" ca="1" si="1464"/>
        <v>375000</v>
      </c>
      <c r="I260" s="406">
        <f t="shared" ca="1" si="1465"/>
        <v>0</v>
      </c>
      <c r="J260" s="407">
        <f t="shared" ca="1" si="1466"/>
        <v>0</v>
      </c>
      <c r="K260" s="408"/>
      <c r="L260" s="409"/>
      <c r="M260" s="409"/>
      <c r="N260" s="409"/>
      <c r="O260" s="409"/>
      <c r="P260" s="409"/>
      <c r="Q260" s="409"/>
      <c r="R260" s="409"/>
      <c r="S260" s="409"/>
      <c r="T260" s="409"/>
      <c r="U260" s="409"/>
      <c r="V260" s="410"/>
      <c r="W260" s="406">
        <f t="shared" ca="1" si="1394"/>
        <v>0</v>
      </c>
      <c r="X260" s="406"/>
      <c r="Y260" s="411"/>
      <c r="Z260" s="412">
        <f t="shared" si="1467"/>
        <v>0</v>
      </c>
      <c r="AA260" s="413"/>
      <c r="AB260" s="413"/>
      <c r="AC260" s="413"/>
      <c r="AD260" s="413"/>
      <c r="AE260" s="413"/>
      <c r="AF260" s="413"/>
      <c r="AG260" s="413"/>
      <c r="AH260" s="413"/>
      <c r="AI260" s="413"/>
      <c r="AJ260" s="413"/>
      <c r="AK260" s="413"/>
      <c r="AL260" s="413"/>
      <c r="AM260" s="572"/>
      <c r="AN260" s="351" t="s">
        <v>861</v>
      </c>
      <c r="AO260" s="351" t="str">
        <f t="shared" si="1419"/>
        <v>Friday.ru</v>
      </c>
      <c r="AP260" s="115">
        <f t="shared" si="1156"/>
        <v>15</v>
      </c>
      <c r="AQ260" s="31" t="str">
        <f t="shared" ca="1" si="1468"/>
        <v>-</v>
      </c>
      <c r="AR260" s="31" t="str">
        <f t="shared" ca="1" si="1468"/>
        <v>-</v>
      </c>
      <c r="AS260" s="34">
        <v>0</v>
      </c>
      <c r="AT260" s="229">
        <v>0</v>
      </c>
      <c r="AU260" s="344">
        <f t="shared" ca="1" si="1469"/>
        <v>250</v>
      </c>
      <c r="AV260" s="345">
        <f t="shared" ca="1" si="1470"/>
        <v>250</v>
      </c>
      <c r="AW260" s="346">
        <f t="shared" ca="1" si="1471"/>
        <v>250</v>
      </c>
      <c r="AX260" s="280"/>
      <c r="AY260" s="280"/>
      <c r="AZ260" s="347">
        <f t="shared" ca="1" si="1472"/>
        <v>375000</v>
      </c>
      <c r="BA260" s="348">
        <f t="shared" ca="1" si="1473"/>
        <v>375000</v>
      </c>
      <c r="BB260" s="347">
        <f t="shared" ca="1" si="1474"/>
        <v>1500</v>
      </c>
      <c r="BC260" s="37" t="str">
        <f t="shared" ca="1" si="1474"/>
        <v>Пакет</v>
      </c>
      <c r="BD260" s="229" t="str">
        <f t="shared" ca="1" si="1475"/>
        <v>Пакет</v>
      </c>
      <c r="BE260" s="283">
        <f t="shared" ca="1" si="1420"/>
        <v>0</v>
      </c>
      <c r="BF260" s="347">
        <f t="array" aca="1" ref="BF260" ca="1">SUM($K260:$V260*$BK260:$BV260)*$AZ260</f>
        <v>0</v>
      </c>
      <c r="BG260" s="347">
        <f t="array" aca="1" ref="BG260" ca="1">SUM($K260:$V260*$BY260:$CJ260*$BK260:$BV260)*$AZ260*$BX260</f>
        <v>0</v>
      </c>
      <c r="BH260" s="347">
        <f t="array" aca="1" ref="BH260" ca="1">SUM($K260:$V260*$BY260:$CJ260*$BK260:$BV260)*(1-$BE260)*$AZ260*$BX260</f>
        <v>0</v>
      </c>
      <c r="BI260" s="350">
        <f t="shared" ca="1" si="1476"/>
        <v>0</v>
      </c>
      <c r="BJ260" s="275" t="str">
        <f t="shared" ca="1" si="1477"/>
        <v>Да</v>
      </c>
      <c r="BK260" s="116">
        <f t="shared" ca="1" si="1478"/>
        <v>0.8</v>
      </c>
      <c r="BL260" s="117">
        <f t="shared" ca="1" si="1478"/>
        <v>0.9</v>
      </c>
      <c r="BM260" s="117">
        <f t="shared" ca="1" si="1478"/>
        <v>1</v>
      </c>
      <c r="BN260" s="117">
        <f t="shared" ca="1" si="1478"/>
        <v>1</v>
      </c>
      <c r="BO260" s="117">
        <f t="shared" ca="1" si="1478"/>
        <v>1</v>
      </c>
      <c r="BP260" s="117">
        <f t="shared" ca="1" si="1478"/>
        <v>1</v>
      </c>
      <c r="BQ260" s="117">
        <f t="shared" ca="1" si="1478"/>
        <v>0.9</v>
      </c>
      <c r="BR260" s="117">
        <f t="shared" ca="1" si="1478"/>
        <v>0.9</v>
      </c>
      <c r="BS260" s="117">
        <f t="shared" ca="1" si="1478"/>
        <v>1.3</v>
      </c>
      <c r="BT260" s="117">
        <f t="shared" ca="1" si="1478"/>
        <v>1.3</v>
      </c>
      <c r="BU260" s="117">
        <f t="shared" ca="1" si="1478"/>
        <v>1.3</v>
      </c>
      <c r="BV260" s="278">
        <f t="shared" ca="1" si="1478"/>
        <v>1.3</v>
      </c>
      <c r="BW260" s="280">
        <f t="shared" si="1421"/>
        <v>4</v>
      </c>
      <c r="BX260" s="118">
        <f>IF($AN260="Ya",100%,100%+extraDelayZ)</f>
        <v>1</v>
      </c>
      <c r="BY260" s="263">
        <f t="shared" si="1479"/>
        <v>1</v>
      </c>
      <c r="BZ260" s="264">
        <f t="shared" si="1480"/>
        <v>1</v>
      </c>
      <c r="CA260" s="264">
        <f t="shared" si="1481"/>
        <v>1</v>
      </c>
      <c r="CB260" s="264">
        <f t="shared" si="1482"/>
        <v>1</v>
      </c>
      <c r="CC260" s="264">
        <f t="shared" si="1483"/>
        <v>1</v>
      </c>
      <c r="CD260" s="264">
        <f t="shared" si="1484"/>
        <v>1</v>
      </c>
      <c r="CE260" s="264">
        <f t="shared" si="1485"/>
        <v>1</v>
      </c>
      <c r="CF260" s="264">
        <f t="shared" si="1486"/>
        <v>1</v>
      </c>
      <c r="CG260" s="264">
        <f t="shared" si="1487"/>
        <v>1</v>
      </c>
      <c r="CH260" s="264">
        <f t="shared" si="1488"/>
        <v>1</v>
      </c>
      <c r="CI260" s="264">
        <f t="shared" si="1489"/>
        <v>1</v>
      </c>
      <c r="CJ260" s="265">
        <f t="shared" si="1490"/>
        <v>1</v>
      </c>
      <c r="CK260" s="269">
        <f t="array" ref="CK260">IF(ISERROR(SUM($K260:$V260*$BY260:$CJ260)/SUM($K260:$V260)),1,SUM($K260:$V260*$BY260:$CJ260)/SUM($K260:$V260))-1</f>
        <v>0</v>
      </c>
      <c r="CL260" s="234"/>
    </row>
    <row r="261" spans="1:90" ht="12.75" hidden="1" outlineLevel="1" x14ac:dyDescent="0.2">
      <c r="B261" s="404" t="str">
        <f t="shared" ca="1" si="1458"/>
        <v>Friday.ru, 980х120, динамика</v>
      </c>
      <c r="C261" s="649" t="str">
        <f t="shared" ca="1" si="1459"/>
        <v>х1000</v>
      </c>
      <c r="D261" s="405">
        <f t="shared" ca="1" si="1460"/>
        <v>200</v>
      </c>
      <c r="E261" s="405">
        <f t="shared" ca="1" si="1461"/>
        <v>200</v>
      </c>
      <c r="F261" s="405">
        <f t="shared" ca="1" si="1462"/>
        <v>200</v>
      </c>
      <c r="G261" s="406">
        <f t="shared" ca="1" si="1463"/>
        <v>200</v>
      </c>
      <c r="H261" s="406">
        <f t="shared" ca="1" si="1464"/>
        <v>200</v>
      </c>
      <c r="I261" s="406">
        <f t="shared" ca="1" si="1465"/>
        <v>0</v>
      </c>
      <c r="J261" s="407">
        <f t="shared" ca="1" si="1466"/>
        <v>0</v>
      </c>
      <c r="K261" s="408"/>
      <c r="L261" s="409"/>
      <c r="M261" s="409"/>
      <c r="N261" s="409"/>
      <c r="O261" s="409"/>
      <c r="P261" s="409"/>
      <c r="Q261" s="409"/>
      <c r="R261" s="409"/>
      <c r="S261" s="409"/>
      <c r="T261" s="409"/>
      <c r="U261" s="409"/>
      <c r="V261" s="410"/>
      <c r="W261" s="406">
        <f t="shared" ca="1" si="1394"/>
        <v>0</v>
      </c>
      <c r="X261" s="406"/>
      <c r="Y261" s="411"/>
      <c r="Z261" s="412">
        <f t="shared" si="1467"/>
        <v>0</v>
      </c>
      <c r="AA261" s="413"/>
      <c r="AB261" s="413"/>
      <c r="AC261" s="413"/>
      <c r="AD261" s="413"/>
      <c r="AE261" s="413"/>
      <c r="AF261" s="413"/>
      <c r="AG261" s="413"/>
      <c r="AH261" s="413"/>
      <c r="AI261" s="413"/>
      <c r="AJ261" s="413"/>
      <c r="AK261" s="413"/>
      <c r="AL261" s="413"/>
      <c r="AM261" s="572"/>
      <c r="AN261" s="351" t="s">
        <v>861</v>
      </c>
      <c r="AO261" s="351" t="str">
        <f t="shared" si="1419"/>
        <v>Friday.ru</v>
      </c>
      <c r="AP261" s="115">
        <f t="shared" si="1156"/>
        <v>15</v>
      </c>
      <c r="AQ261" s="31">
        <f t="shared" ca="1" si="1468"/>
        <v>0.25</v>
      </c>
      <c r="AR261" s="31">
        <f t="shared" ca="1" si="1468"/>
        <v>0</v>
      </c>
      <c r="AS261" s="34">
        <v>0</v>
      </c>
      <c r="AT261" s="229">
        <v>0</v>
      </c>
      <c r="AU261" s="344">
        <f t="shared" ca="1" si="1469"/>
        <v>200</v>
      </c>
      <c r="AV261" s="345">
        <f t="shared" ca="1" si="1470"/>
        <v>200</v>
      </c>
      <c r="AW261" s="346">
        <f t="shared" ca="1" si="1471"/>
        <v>200</v>
      </c>
      <c r="AX261" s="280"/>
      <c r="AY261" s="280"/>
      <c r="AZ261" s="347">
        <f t="shared" ca="1" si="1472"/>
        <v>200</v>
      </c>
      <c r="BA261" s="348">
        <f t="shared" ca="1" si="1473"/>
        <v>200</v>
      </c>
      <c r="BB261" s="347">
        <f t="shared" ca="1" si="1474"/>
        <v>1</v>
      </c>
      <c r="BC261" s="37" t="str">
        <f t="shared" ca="1" si="1474"/>
        <v>1000 контактов</v>
      </c>
      <c r="BD261" s="229" t="str">
        <f t="shared" ca="1" si="1475"/>
        <v>х1000</v>
      </c>
      <c r="BE261" s="283">
        <f t="shared" ca="1" si="1420"/>
        <v>0</v>
      </c>
      <c r="BF261" s="347">
        <f t="array" aca="1" ref="BF261" ca="1">SUM($K261:$V261*$BK261:$BV261)*$AZ261</f>
        <v>0</v>
      </c>
      <c r="BG261" s="347">
        <f t="array" aca="1" ref="BG261" ca="1">SUM($K261:$V261*$BY261:$CJ261*$BK261:$BV261)*$AZ261*$BX261</f>
        <v>0</v>
      </c>
      <c r="BH261" s="347">
        <f t="array" aca="1" ref="BH261" ca="1">SUM($K261:$V261*$BY261:$CJ261*$BK261:$BV261)*(1-$BE261)*$AZ261*$BX261</f>
        <v>0</v>
      </c>
      <c r="BI261" s="350">
        <f t="shared" ca="1" si="1476"/>
        <v>0</v>
      </c>
      <c r="BJ261" s="275" t="str">
        <f t="shared" ca="1" si="1477"/>
        <v>Да</v>
      </c>
      <c r="BK261" s="116">
        <f t="shared" ca="1" si="1478"/>
        <v>0.8</v>
      </c>
      <c r="BL261" s="117">
        <f t="shared" ca="1" si="1478"/>
        <v>0.9</v>
      </c>
      <c r="BM261" s="117">
        <f t="shared" ca="1" si="1478"/>
        <v>1</v>
      </c>
      <c r="BN261" s="117">
        <f t="shared" ca="1" si="1478"/>
        <v>1</v>
      </c>
      <c r="BO261" s="117">
        <f t="shared" ca="1" si="1478"/>
        <v>1</v>
      </c>
      <c r="BP261" s="117">
        <f t="shared" ca="1" si="1478"/>
        <v>1</v>
      </c>
      <c r="BQ261" s="117">
        <f t="shared" ca="1" si="1478"/>
        <v>0.9</v>
      </c>
      <c r="BR261" s="117">
        <f t="shared" ca="1" si="1478"/>
        <v>0.9</v>
      </c>
      <c r="BS261" s="117">
        <f t="shared" ca="1" si="1478"/>
        <v>1.3</v>
      </c>
      <c r="BT261" s="117">
        <f t="shared" ca="1" si="1478"/>
        <v>1.3</v>
      </c>
      <c r="BU261" s="117">
        <f t="shared" ca="1" si="1478"/>
        <v>1.3</v>
      </c>
      <c r="BV261" s="278">
        <f t="shared" ca="1" si="1478"/>
        <v>1.3</v>
      </c>
      <c r="BW261" s="280">
        <f t="shared" si="1421"/>
        <v>5</v>
      </c>
      <c r="BX261" s="118">
        <f>IF($AN261="Ya",100%,100%+extraDelayZ)</f>
        <v>1</v>
      </c>
      <c r="BY261" s="263">
        <f t="shared" si="1479"/>
        <v>1</v>
      </c>
      <c r="BZ261" s="264">
        <f t="shared" si="1480"/>
        <v>1</v>
      </c>
      <c r="CA261" s="264">
        <f t="shared" si="1481"/>
        <v>1</v>
      </c>
      <c r="CB261" s="264">
        <f t="shared" si="1482"/>
        <v>1</v>
      </c>
      <c r="CC261" s="264">
        <f t="shared" si="1483"/>
        <v>1</v>
      </c>
      <c r="CD261" s="264">
        <f t="shared" si="1484"/>
        <v>1</v>
      </c>
      <c r="CE261" s="264">
        <f t="shared" si="1485"/>
        <v>1</v>
      </c>
      <c r="CF261" s="264">
        <f t="shared" si="1486"/>
        <v>1</v>
      </c>
      <c r="CG261" s="264">
        <f t="shared" si="1487"/>
        <v>1</v>
      </c>
      <c r="CH261" s="264">
        <f t="shared" si="1488"/>
        <v>1</v>
      </c>
      <c r="CI261" s="264">
        <f t="shared" si="1489"/>
        <v>1</v>
      </c>
      <c r="CJ261" s="265">
        <f t="shared" si="1490"/>
        <v>1</v>
      </c>
      <c r="CK261" s="269">
        <f t="array" ref="CK261">IF(ISERROR(SUM($K261:$V261*$BY261:$CJ261)/SUM($K261:$V261)),1,SUM($K261:$V261*$BY261:$CJ261)/SUM($K261:$V261))-1</f>
        <v>0</v>
      </c>
      <c r="CL261" s="234"/>
    </row>
    <row r="262" spans="1:90" ht="12.75" hidden="1" outlineLevel="1" x14ac:dyDescent="0.2">
      <c r="B262" s="404" t="str">
        <f t="shared" ca="1" si="1458"/>
        <v>Friday.ru+2х2+tv3, 980х120/600х90, Пакет "Охват 1500К"</v>
      </c>
      <c r="C262" s="649" t="str">
        <f t="shared" ca="1" si="1459"/>
        <v>Пакет</v>
      </c>
      <c r="D262" s="405">
        <f t="shared" ca="1" si="1460"/>
        <v>100</v>
      </c>
      <c r="E262" s="405">
        <f t="shared" ca="1" si="1461"/>
        <v>100</v>
      </c>
      <c r="F262" s="405">
        <f t="shared" ca="1" si="1462"/>
        <v>100</v>
      </c>
      <c r="G262" s="406">
        <f t="shared" ca="1" si="1463"/>
        <v>150000</v>
      </c>
      <c r="H262" s="406">
        <f t="shared" ca="1" si="1464"/>
        <v>150000</v>
      </c>
      <c r="I262" s="406">
        <f t="shared" ca="1" si="1465"/>
        <v>0</v>
      </c>
      <c r="J262" s="407">
        <f t="shared" ca="1" si="1466"/>
        <v>0</v>
      </c>
      <c r="K262" s="408"/>
      <c r="L262" s="409"/>
      <c r="M262" s="409"/>
      <c r="N262" s="409"/>
      <c r="O262" s="409"/>
      <c r="P262" s="409"/>
      <c r="Q262" s="409"/>
      <c r="R262" s="409"/>
      <c r="S262" s="409"/>
      <c r="T262" s="409"/>
      <c r="U262" s="409"/>
      <c r="V262" s="410"/>
      <c r="W262" s="406">
        <f t="shared" ca="1" si="1394"/>
        <v>0</v>
      </c>
      <c r="X262" s="406"/>
      <c r="Y262" s="411"/>
      <c r="Z262" s="412">
        <f t="shared" ref="Z262" si="1491">CK262</f>
        <v>0</v>
      </c>
      <c r="AA262" s="413"/>
      <c r="AB262" s="413"/>
      <c r="AC262" s="413"/>
      <c r="AD262" s="413"/>
      <c r="AE262" s="413"/>
      <c r="AF262" s="413"/>
      <c r="AG262" s="413"/>
      <c r="AH262" s="413"/>
      <c r="AI262" s="413"/>
      <c r="AJ262" s="413"/>
      <c r="AK262" s="413"/>
      <c r="AL262" s="413"/>
      <c r="AM262" s="572"/>
      <c r="AN262" s="351" t="s">
        <v>861</v>
      </c>
      <c r="AO262" s="351" t="str">
        <f t="shared" si="1419"/>
        <v>Friday.ru</v>
      </c>
      <c r="AP262" s="115">
        <f t="shared" si="1156"/>
        <v>15</v>
      </c>
      <c r="AQ262" s="31" t="str">
        <f t="shared" ca="1" si="1468"/>
        <v>-</v>
      </c>
      <c r="AR262" s="31" t="str">
        <f t="shared" ca="1" si="1468"/>
        <v>-</v>
      </c>
      <c r="AS262" s="34">
        <v>0</v>
      </c>
      <c r="AT262" s="229">
        <v>0</v>
      </c>
      <c r="AU262" s="344">
        <f t="shared" ca="1" si="1469"/>
        <v>100</v>
      </c>
      <c r="AV262" s="345">
        <f t="shared" ca="1" si="1470"/>
        <v>100</v>
      </c>
      <c r="AW262" s="346">
        <f t="shared" ca="1" si="1471"/>
        <v>100</v>
      </c>
      <c r="AX262" s="280"/>
      <c r="AY262" s="280"/>
      <c r="AZ262" s="347">
        <f t="shared" ca="1" si="1472"/>
        <v>150000</v>
      </c>
      <c r="BA262" s="348">
        <f t="shared" ca="1" si="1473"/>
        <v>150000</v>
      </c>
      <c r="BB262" s="347">
        <f t="shared" ca="1" si="1474"/>
        <v>1500</v>
      </c>
      <c r="BC262" s="37" t="str">
        <f t="shared" ca="1" si="1474"/>
        <v>Пакет</v>
      </c>
      <c r="BD262" s="229" t="str">
        <f t="shared" ca="1" si="1475"/>
        <v>Пакет</v>
      </c>
      <c r="BE262" s="283">
        <f t="shared" ca="1" si="1420"/>
        <v>0</v>
      </c>
      <c r="BF262" s="347">
        <f t="array" aca="1" ref="BF262" ca="1">SUM($K262:$V262*$BK262:$BV262)*$AZ262</f>
        <v>0</v>
      </c>
      <c r="BG262" s="347">
        <f t="array" aca="1" ref="BG262" ca="1">SUM($K262:$V262*$BY262:$CJ262*$BK262:$BV262)*$AZ262*$BX262</f>
        <v>0</v>
      </c>
      <c r="BH262" s="347">
        <f t="array" aca="1" ref="BH262" ca="1">SUM($K262:$V262*$BY262:$CJ262*$BK262:$BV262)*(1-$BE262)*$AZ262*$BX262</f>
        <v>0</v>
      </c>
      <c r="BI262" s="350">
        <f t="shared" ca="1" si="1476"/>
        <v>0</v>
      </c>
      <c r="BJ262" s="275" t="str">
        <f t="shared" ca="1" si="1477"/>
        <v>Да</v>
      </c>
      <c r="BK262" s="116">
        <f t="shared" ca="1" si="1478"/>
        <v>0.8</v>
      </c>
      <c r="BL262" s="117">
        <f t="shared" ca="1" si="1478"/>
        <v>0.9</v>
      </c>
      <c r="BM262" s="117">
        <f t="shared" ca="1" si="1478"/>
        <v>1</v>
      </c>
      <c r="BN262" s="117">
        <f t="shared" ca="1" si="1478"/>
        <v>1</v>
      </c>
      <c r="BO262" s="117">
        <f t="shared" ca="1" si="1478"/>
        <v>1</v>
      </c>
      <c r="BP262" s="117">
        <f t="shared" ca="1" si="1478"/>
        <v>1</v>
      </c>
      <c r="BQ262" s="117">
        <f t="shared" ca="1" si="1478"/>
        <v>0.9</v>
      </c>
      <c r="BR262" s="117">
        <f t="shared" ca="1" si="1478"/>
        <v>0.9</v>
      </c>
      <c r="BS262" s="117">
        <f t="shared" ca="1" si="1478"/>
        <v>1.3</v>
      </c>
      <c r="BT262" s="117">
        <f t="shared" ca="1" si="1478"/>
        <v>1.3</v>
      </c>
      <c r="BU262" s="117">
        <f t="shared" ca="1" si="1478"/>
        <v>1.3</v>
      </c>
      <c r="BV262" s="278">
        <f t="shared" ca="1" si="1478"/>
        <v>1.3</v>
      </c>
      <c r="BW262" s="280">
        <f t="shared" si="1421"/>
        <v>6</v>
      </c>
      <c r="BX262" s="118">
        <f>IF($AN262="Ya",100%,100%+extraDelayZ)</f>
        <v>1</v>
      </c>
      <c r="BY262" s="263">
        <f t="shared" ref="BY262" si="1492">(1+AA262)</f>
        <v>1</v>
      </c>
      <c r="BZ262" s="264">
        <f t="shared" ref="BZ262" si="1493">(1+AB262)</f>
        <v>1</v>
      </c>
      <c r="CA262" s="264">
        <f t="shared" ref="CA262" si="1494">(1+AC262)</f>
        <v>1</v>
      </c>
      <c r="CB262" s="264">
        <f t="shared" ref="CB262" si="1495">(1+AD262)</f>
        <v>1</v>
      </c>
      <c r="CC262" s="264">
        <f t="shared" ref="CC262" si="1496">(1+AE262)</f>
        <v>1</v>
      </c>
      <c r="CD262" s="264">
        <f t="shared" ref="CD262" si="1497">(1+AF262)</f>
        <v>1</v>
      </c>
      <c r="CE262" s="264">
        <f t="shared" ref="CE262" si="1498">(1+AG262)</f>
        <v>1</v>
      </c>
      <c r="CF262" s="264">
        <f t="shared" ref="CF262" si="1499">(1+AH262)</f>
        <v>1</v>
      </c>
      <c r="CG262" s="264">
        <f t="shared" ref="CG262" si="1500">(1+AI262)</f>
        <v>1</v>
      </c>
      <c r="CH262" s="264">
        <f t="shared" ref="CH262" si="1501">(1+AJ262)</f>
        <v>1</v>
      </c>
      <c r="CI262" s="264">
        <f t="shared" ref="CI262" si="1502">(1+AK262)</f>
        <v>1</v>
      </c>
      <c r="CJ262" s="265">
        <f t="shared" ref="CJ262" si="1503">(1+AL262)</f>
        <v>1</v>
      </c>
      <c r="CK262" s="269">
        <f t="array" ref="CK262">IF(ISERROR(SUM($K262:$V262*$BY262:$CJ262)/SUM($K262:$V262)),1,SUM($K262:$V262*$BY262:$CJ262)/SUM($K262:$V262))-1</f>
        <v>0</v>
      </c>
      <c r="CL262" s="234"/>
    </row>
    <row r="263" spans="1:90" ht="12.75" hidden="1" outlineLevel="1" x14ac:dyDescent="0.2">
      <c r="B263" s="404" t="str">
        <f t="shared" ca="1" si="1458"/>
        <v>Friday.ru, BackScreen 300х250</v>
      </c>
      <c r="C263" s="649" t="str">
        <f t="shared" ca="1" si="1459"/>
        <v>х1000</v>
      </c>
      <c r="D263" s="405">
        <f t="shared" ca="1" si="1460"/>
        <v>1200</v>
      </c>
      <c r="E263" s="405">
        <f t="shared" ca="1" si="1461"/>
        <v>1200</v>
      </c>
      <c r="F263" s="405">
        <f t="shared" ca="1" si="1462"/>
        <v>1200</v>
      </c>
      <c r="G263" s="406">
        <f t="shared" ca="1" si="1463"/>
        <v>1200</v>
      </c>
      <c r="H263" s="406">
        <f t="shared" ca="1" si="1464"/>
        <v>1200</v>
      </c>
      <c r="I263" s="406">
        <f t="shared" ca="1" si="1465"/>
        <v>0</v>
      </c>
      <c r="J263" s="407">
        <f t="shared" ca="1" si="1466"/>
        <v>0</v>
      </c>
      <c r="K263" s="408"/>
      <c r="L263" s="409"/>
      <c r="M263" s="409"/>
      <c r="N263" s="409"/>
      <c r="O263" s="409"/>
      <c r="P263" s="409"/>
      <c r="Q263" s="409"/>
      <c r="R263" s="409"/>
      <c r="S263" s="409"/>
      <c r="T263" s="409"/>
      <c r="U263" s="409"/>
      <c r="V263" s="410"/>
      <c r="W263" s="406">
        <f t="shared" ca="1" si="1394"/>
        <v>0</v>
      </c>
      <c r="X263" s="406"/>
      <c r="Y263" s="411"/>
      <c r="Z263" s="412">
        <f t="shared" si="1467"/>
        <v>0</v>
      </c>
      <c r="AA263" s="413"/>
      <c r="AB263" s="413"/>
      <c r="AC263" s="413"/>
      <c r="AD263" s="413"/>
      <c r="AE263" s="413"/>
      <c r="AF263" s="413"/>
      <c r="AG263" s="413"/>
      <c r="AH263" s="413"/>
      <c r="AI263" s="413"/>
      <c r="AJ263" s="413"/>
      <c r="AK263" s="413"/>
      <c r="AL263" s="413"/>
      <c r="AM263" s="572"/>
      <c r="AN263" s="351" t="s">
        <v>861</v>
      </c>
      <c r="AO263" s="351" t="str">
        <f t="shared" si="1419"/>
        <v>Friday.ru</v>
      </c>
      <c r="AP263" s="115">
        <f t="shared" si="1156"/>
        <v>15</v>
      </c>
      <c r="AQ263" s="31">
        <f t="shared" ca="1" si="1468"/>
        <v>0.25</v>
      </c>
      <c r="AR263" s="31">
        <f t="shared" ca="1" si="1468"/>
        <v>0</v>
      </c>
      <c r="AS263" s="34">
        <v>0</v>
      </c>
      <c r="AT263" s="229">
        <v>0</v>
      </c>
      <c r="AU263" s="344">
        <f t="shared" ca="1" si="1469"/>
        <v>1200</v>
      </c>
      <c r="AV263" s="345">
        <f t="shared" ca="1" si="1470"/>
        <v>1200</v>
      </c>
      <c r="AW263" s="346">
        <f t="shared" ca="1" si="1471"/>
        <v>1200</v>
      </c>
      <c r="AX263" s="280"/>
      <c r="AY263" s="280"/>
      <c r="AZ263" s="347">
        <f t="shared" ca="1" si="1472"/>
        <v>1200</v>
      </c>
      <c r="BA263" s="348">
        <f t="shared" ca="1" si="1473"/>
        <v>1200</v>
      </c>
      <c r="BB263" s="347">
        <f t="shared" ca="1" si="1474"/>
        <v>1</v>
      </c>
      <c r="BC263" s="37" t="str">
        <f t="shared" ca="1" si="1474"/>
        <v>1000 контактов</v>
      </c>
      <c r="BD263" s="229" t="str">
        <f t="shared" ca="1" si="1475"/>
        <v>х1000</v>
      </c>
      <c r="BE263" s="283">
        <f t="shared" ca="1" si="1420"/>
        <v>0</v>
      </c>
      <c r="BF263" s="347">
        <f t="array" aca="1" ref="BF263" ca="1">SUM($K263:$V263*$BK263:$BV263)*$AZ263</f>
        <v>0</v>
      </c>
      <c r="BG263" s="347">
        <f t="array" aca="1" ref="BG263" ca="1">SUM($K263:$V263*$BY263:$CJ263*$BK263:$BV263)*$AZ263*$BX263</f>
        <v>0</v>
      </c>
      <c r="BH263" s="347">
        <f t="array" aca="1" ref="BH263" ca="1">SUM($K263:$V263*$BY263:$CJ263*$BK263:$BV263)*(1-$BE263)*$AZ263*$BX263</f>
        <v>0</v>
      </c>
      <c r="BI263" s="350">
        <f t="shared" ca="1" si="1476"/>
        <v>0</v>
      </c>
      <c r="BJ263" s="275" t="str">
        <f t="shared" ca="1" si="1477"/>
        <v>Да</v>
      </c>
      <c r="BK263" s="116">
        <f t="shared" ca="1" si="1478"/>
        <v>0.8</v>
      </c>
      <c r="BL263" s="117">
        <f t="shared" ca="1" si="1478"/>
        <v>0.9</v>
      </c>
      <c r="BM263" s="117">
        <f t="shared" ca="1" si="1478"/>
        <v>1</v>
      </c>
      <c r="BN263" s="117">
        <f t="shared" ca="1" si="1478"/>
        <v>1</v>
      </c>
      <c r="BO263" s="117">
        <f t="shared" ca="1" si="1478"/>
        <v>1</v>
      </c>
      <c r="BP263" s="117">
        <f t="shared" ca="1" si="1478"/>
        <v>1</v>
      </c>
      <c r="BQ263" s="117">
        <f t="shared" ca="1" si="1478"/>
        <v>0.9</v>
      </c>
      <c r="BR263" s="117">
        <f t="shared" ca="1" si="1478"/>
        <v>0.9</v>
      </c>
      <c r="BS263" s="117">
        <f t="shared" ca="1" si="1478"/>
        <v>1.3</v>
      </c>
      <c r="BT263" s="117">
        <f t="shared" ca="1" si="1478"/>
        <v>1.3</v>
      </c>
      <c r="BU263" s="117">
        <f t="shared" ca="1" si="1478"/>
        <v>1.3</v>
      </c>
      <c r="BV263" s="278">
        <f t="shared" ca="1" si="1478"/>
        <v>1.3</v>
      </c>
      <c r="BW263" s="280">
        <f t="shared" si="1421"/>
        <v>7</v>
      </c>
      <c r="BX263" s="118">
        <f>IF($AN263="Ya",100%,100%+extraDelayZ)</f>
        <v>1</v>
      </c>
      <c r="BY263" s="263">
        <f t="shared" si="1479"/>
        <v>1</v>
      </c>
      <c r="BZ263" s="264">
        <f t="shared" si="1480"/>
        <v>1</v>
      </c>
      <c r="CA263" s="264">
        <f t="shared" si="1481"/>
        <v>1</v>
      </c>
      <c r="CB263" s="264">
        <f t="shared" si="1482"/>
        <v>1</v>
      </c>
      <c r="CC263" s="264">
        <f t="shared" si="1483"/>
        <v>1</v>
      </c>
      <c r="CD263" s="264">
        <f t="shared" si="1484"/>
        <v>1</v>
      </c>
      <c r="CE263" s="264">
        <f t="shared" si="1485"/>
        <v>1</v>
      </c>
      <c r="CF263" s="264">
        <f t="shared" si="1486"/>
        <v>1</v>
      </c>
      <c r="CG263" s="264">
        <f t="shared" si="1487"/>
        <v>1</v>
      </c>
      <c r="CH263" s="264">
        <f t="shared" si="1488"/>
        <v>1</v>
      </c>
      <c r="CI263" s="264">
        <f t="shared" si="1489"/>
        <v>1</v>
      </c>
      <c r="CJ263" s="265">
        <f t="shared" si="1490"/>
        <v>1</v>
      </c>
      <c r="CK263" s="269">
        <f t="array" ref="CK263">IF(ISERROR(SUM($K263:$V263*$BY263:$CJ263)/SUM($K263:$V263)),1,SUM($K263:$V263*$BY263:$CJ263)/SUM($K263:$V263))-1</f>
        <v>0</v>
      </c>
      <c r="CL263" s="234"/>
    </row>
    <row r="264" spans="1:90" ht="12.75" hidden="1" outlineLevel="1" x14ac:dyDescent="0.2">
      <c r="B264" s="404" t="str">
        <f t="shared" ca="1" si="1458"/>
        <v>Friday.ru, Rich Media, 300х300</v>
      </c>
      <c r="C264" s="649" t="str">
        <f t="shared" ca="1" si="1459"/>
        <v>х1000</v>
      </c>
      <c r="D264" s="405">
        <f t="shared" ca="1" si="1460"/>
        <v>1200</v>
      </c>
      <c r="E264" s="405">
        <f t="shared" ca="1" si="1461"/>
        <v>1200</v>
      </c>
      <c r="F264" s="405">
        <f t="shared" ca="1" si="1462"/>
        <v>1200</v>
      </c>
      <c r="G264" s="406">
        <f t="shared" ca="1" si="1463"/>
        <v>1200</v>
      </c>
      <c r="H264" s="406">
        <f t="shared" ca="1" si="1464"/>
        <v>1200</v>
      </c>
      <c r="I264" s="406">
        <f t="shared" ca="1" si="1465"/>
        <v>0</v>
      </c>
      <c r="J264" s="407">
        <f t="shared" ca="1" si="1466"/>
        <v>0</v>
      </c>
      <c r="K264" s="408"/>
      <c r="L264" s="409"/>
      <c r="M264" s="409"/>
      <c r="N264" s="409"/>
      <c r="O264" s="409"/>
      <c r="P264" s="409"/>
      <c r="Q264" s="409"/>
      <c r="R264" s="409"/>
      <c r="S264" s="409"/>
      <c r="T264" s="409"/>
      <c r="U264" s="409"/>
      <c r="V264" s="410"/>
      <c r="W264" s="406">
        <f t="shared" ca="1" si="1394"/>
        <v>0</v>
      </c>
      <c r="X264" s="406"/>
      <c r="Y264" s="411"/>
      <c r="Z264" s="412">
        <f t="shared" ref="Z264" si="1504">CK264</f>
        <v>0</v>
      </c>
      <c r="AA264" s="413"/>
      <c r="AB264" s="413"/>
      <c r="AC264" s="413"/>
      <c r="AD264" s="413"/>
      <c r="AE264" s="413"/>
      <c r="AF264" s="413"/>
      <c r="AG264" s="413"/>
      <c r="AH264" s="413"/>
      <c r="AI264" s="413"/>
      <c r="AJ264" s="413"/>
      <c r="AK264" s="413"/>
      <c r="AL264" s="413"/>
      <c r="AM264" s="572"/>
      <c r="AN264" s="351" t="s">
        <v>861</v>
      </c>
      <c r="AO264" s="351" t="str">
        <f t="shared" si="1419"/>
        <v>Friday.ru</v>
      </c>
      <c r="AP264" s="115">
        <f t="shared" si="1156"/>
        <v>15</v>
      </c>
      <c r="AQ264" s="31">
        <f t="shared" ca="1" si="1468"/>
        <v>0.25</v>
      </c>
      <c r="AR264" s="31">
        <f t="shared" ca="1" si="1468"/>
        <v>0</v>
      </c>
      <c r="AS264" s="34">
        <v>0</v>
      </c>
      <c r="AT264" s="229">
        <v>0</v>
      </c>
      <c r="AU264" s="344">
        <f t="shared" ca="1" si="1469"/>
        <v>1200</v>
      </c>
      <c r="AV264" s="345">
        <f t="shared" ca="1" si="1470"/>
        <v>1200</v>
      </c>
      <c r="AW264" s="346">
        <f t="shared" ca="1" si="1471"/>
        <v>1200</v>
      </c>
      <c r="AX264" s="280"/>
      <c r="AY264" s="280"/>
      <c r="AZ264" s="347">
        <f t="shared" ca="1" si="1472"/>
        <v>1200</v>
      </c>
      <c r="BA264" s="348">
        <f t="shared" ca="1" si="1473"/>
        <v>1200</v>
      </c>
      <c r="BB264" s="347">
        <f t="shared" ca="1" si="1474"/>
        <v>1</v>
      </c>
      <c r="BC264" s="37" t="str">
        <f t="shared" ca="1" si="1474"/>
        <v>1000 контактов</v>
      </c>
      <c r="BD264" s="229" t="str">
        <f t="shared" ca="1" si="1475"/>
        <v>х1000</v>
      </c>
      <c r="BE264" s="283">
        <f t="shared" ca="1" si="1420"/>
        <v>0</v>
      </c>
      <c r="BF264" s="347">
        <f t="array" aca="1" ref="BF264" ca="1">SUM($K264:$V264*$BK264:$BV264)*$AZ264</f>
        <v>0</v>
      </c>
      <c r="BG264" s="347">
        <f t="array" aca="1" ref="BG264" ca="1">SUM($K264:$V264*$BY264:$CJ264*$BK264:$BV264)*$AZ264*$BX264</f>
        <v>0</v>
      </c>
      <c r="BH264" s="347">
        <f t="array" aca="1" ref="BH264" ca="1">SUM($K264:$V264*$BY264:$CJ264*$BK264:$BV264)*(1-$BE264)*$AZ264*$BX264</f>
        <v>0</v>
      </c>
      <c r="BI264" s="350">
        <f t="shared" ca="1" si="1476"/>
        <v>0</v>
      </c>
      <c r="BJ264" s="275" t="str">
        <f t="shared" ca="1" si="1477"/>
        <v>Да</v>
      </c>
      <c r="BK264" s="116">
        <f t="shared" ca="1" si="1478"/>
        <v>0.8</v>
      </c>
      <c r="BL264" s="117">
        <f t="shared" ca="1" si="1478"/>
        <v>0.9</v>
      </c>
      <c r="BM264" s="117">
        <f t="shared" ca="1" si="1478"/>
        <v>1</v>
      </c>
      <c r="BN264" s="117">
        <f t="shared" ca="1" si="1478"/>
        <v>1</v>
      </c>
      <c r="BO264" s="117">
        <f t="shared" ca="1" si="1478"/>
        <v>1</v>
      </c>
      <c r="BP264" s="117">
        <f t="shared" ca="1" si="1478"/>
        <v>1</v>
      </c>
      <c r="BQ264" s="117">
        <f t="shared" ca="1" si="1478"/>
        <v>0.9</v>
      </c>
      <c r="BR264" s="117">
        <f t="shared" ca="1" si="1478"/>
        <v>0.9</v>
      </c>
      <c r="BS264" s="117">
        <f t="shared" ca="1" si="1478"/>
        <v>1.3</v>
      </c>
      <c r="BT264" s="117">
        <f t="shared" ca="1" si="1478"/>
        <v>1.3</v>
      </c>
      <c r="BU264" s="117">
        <f t="shared" ca="1" si="1478"/>
        <v>1.3</v>
      </c>
      <c r="BV264" s="278">
        <f t="shared" ca="1" si="1478"/>
        <v>1.3</v>
      </c>
      <c r="BW264" s="280">
        <f t="shared" si="1421"/>
        <v>8</v>
      </c>
      <c r="BX264" s="118">
        <f>IF($AN264="Ya",100%,100%+extraDelayZ)</f>
        <v>1</v>
      </c>
      <c r="BY264" s="263">
        <f t="shared" ref="BY264" si="1505">(1+AA264)</f>
        <v>1</v>
      </c>
      <c r="BZ264" s="264">
        <f t="shared" ref="BZ264" si="1506">(1+AB264)</f>
        <v>1</v>
      </c>
      <c r="CA264" s="264">
        <f t="shared" ref="CA264" si="1507">(1+AC264)</f>
        <v>1</v>
      </c>
      <c r="CB264" s="264">
        <f t="shared" ref="CB264" si="1508">(1+AD264)</f>
        <v>1</v>
      </c>
      <c r="CC264" s="264">
        <f t="shared" ref="CC264" si="1509">(1+AE264)</f>
        <v>1</v>
      </c>
      <c r="CD264" s="264">
        <f t="shared" ref="CD264" si="1510">(1+AF264)</f>
        <v>1</v>
      </c>
      <c r="CE264" s="264">
        <f t="shared" ref="CE264" si="1511">(1+AG264)</f>
        <v>1</v>
      </c>
      <c r="CF264" s="264">
        <f t="shared" ref="CF264" si="1512">(1+AH264)</f>
        <v>1</v>
      </c>
      <c r="CG264" s="264">
        <f t="shared" ref="CG264" si="1513">(1+AI264)</f>
        <v>1</v>
      </c>
      <c r="CH264" s="264">
        <f t="shared" ref="CH264" si="1514">(1+AJ264)</f>
        <v>1</v>
      </c>
      <c r="CI264" s="264">
        <f t="shared" ref="CI264" si="1515">(1+AK264)</f>
        <v>1</v>
      </c>
      <c r="CJ264" s="265">
        <f t="shared" ref="CJ264" si="1516">(1+AL264)</f>
        <v>1</v>
      </c>
      <c r="CK264" s="269">
        <f t="array" ref="CK264">IF(ISERROR(SUM($K264:$V264*$BY264:$CJ264)/SUM($K264:$V264)),1,SUM($K264:$V264*$BY264:$CJ264)/SUM($K264:$V264))-1</f>
        <v>0</v>
      </c>
      <c r="CL264" s="234"/>
    </row>
    <row r="265" spans="1:90" ht="12.75" hidden="1" outlineLevel="1" x14ac:dyDescent="0.2">
      <c r="B265" s="404" t="str">
        <f t="shared" ca="1" si="1458"/>
        <v>Friday.ru, FullScreen</v>
      </c>
      <c r="C265" s="649" t="str">
        <f t="shared" ca="1" si="1459"/>
        <v>х1000</v>
      </c>
      <c r="D265" s="405">
        <f t="shared" ca="1" si="1460"/>
        <v>1500</v>
      </c>
      <c r="E265" s="405">
        <f t="shared" ca="1" si="1461"/>
        <v>1500</v>
      </c>
      <c r="F265" s="405">
        <f t="shared" ca="1" si="1462"/>
        <v>1500</v>
      </c>
      <c r="G265" s="406">
        <f t="shared" ca="1" si="1463"/>
        <v>1500</v>
      </c>
      <c r="H265" s="406">
        <f t="shared" ca="1" si="1464"/>
        <v>1500</v>
      </c>
      <c r="I265" s="406">
        <f t="shared" ca="1" si="1465"/>
        <v>0</v>
      </c>
      <c r="J265" s="407">
        <f t="shared" ca="1" si="1466"/>
        <v>0</v>
      </c>
      <c r="K265" s="408"/>
      <c r="L265" s="409"/>
      <c r="M265" s="409"/>
      <c r="N265" s="409"/>
      <c r="O265" s="409"/>
      <c r="P265" s="409"/>
      <c r="Q265" s="409"/>
      <c r="R265" s="409"/>
      <c r="S265" s="409"/>
      <c r="T265" s="409"/>
      <c r="U265" s="409"/>
      <c r="V265" s="410"/>
      <c r="W265" s="406">
        <f t="shared" ca="1" si="1394"/>
        <v>0</v>
      </c>
      <c r="X265" s="406"/>
      <c r="Y265" s="411"/>
      <c r="Z265" s="412">
        <f t="shared" ref="Z265" si="1517">CK265</f>
        <v>0</v>
      </c>
      <c r="AA265" s="413"/>
      <c r="AB265" s="413"/>
      <c r="AC265" s="413"/>
      <c r="AD265" s="413"/>
      <c r="AE265" s="413"/>
      <c r="AF265" s="413"/>
      <c r="AG265" s="413"/>
      <c r="AH265" s="413"/>
      <c r="AI265" s="413"/>
      <c r="AJ265" s="413"/>
      <c r="AK265" s="413"/>
      <c r="AL265" s="413"/>
      <c r="AM265" s="572"/>
      <c r="AN265" s="351" t="s">
        <v>861</v>
      </c>
      <c r="AO265" s="351" t="str">
        <f t="shared" si="1419"/>
        <v>Friday.ru</v>
      </c>
      <c r="AP265" s="115">
        <f t="shared" si="1156"/>
        <v>15</v>
      </c>
      <c r="AQ265" s="31">
        <f t="shared" ca="1" si="1468"/>
        <v>0.25</v>
      </c>
      <c r="AR265" s="31">
        <f t="shared" ca="1" si="1468"/>
        <v>0</v>
      </c>
      <c r="AS265" s="34">
        <v>0</v>
      </c>
      <c r="AT265" s="229">
        <v>0</v>
      </c>
      <c r="AU265" s="344">
        <f t="shared" ca="1" si="1469"/>
        <v>1500</v>
      </c>
      <c r="AV265" s="345">
        <f t="shared" ca="1" si="1470"/>
        <v>1500</v>
      </c>
      <c r="AW265" s="346">
        <f t="shared" ca="1" si="1471"/>
        <v>1500</v>
      </c>
      <c r="AX265" s="280"/>
      <c r="AY265" s="280"/>
      <c r="AZ265" s="347">
        <f t="shared" ca="1" si="1472"/>
        <v>1500</v>
      </c>
      <c r="BA265" s="348">
        <f t="shared" ca="1" si="1473"/>
        <v>1500</v>
      </c>
      <c r="BB265" s="347">
        <f t="shared" ca="1" si="1474"/>
        <v>1</v>
      </c>
      <c r="BC265" s="37" t="str">
        <f t="shared" ca="1" si="1474"/>
        <v>1000 контактов</v>
      </c>
      <c r="BD265" s="229" t="str">
        <f t="shared" ca="1" si="1475"/>
        <v>х1000</v>
      </c>
      <c r="BE265" s="283">
        <f t="shared" ca="1" si="1420"/>
        <v>0</v>
      </c>
      <c r="BF265" s="347">
        <f t="array" aca="1" ref="BF265" ca="1">SUM($K265:$V265*$BK265:$BV265)*$AZ265</f>
        <v>0</v>
      </c>
      <c r="BG265" s="347">
        <f t="array" aca="1" ref="BG265" ca="1">SUM($K265:$V265*$BY265:$CJ265*$BK265:$BV265)*$AZ265*$BX265</f>
        <v>0</v>
      </c>
      <c r="BH265" s="347">
        <f t="array" aca="1" ref="BH265" ca="1">SUM($K265:$V265*$BY265:$CJ265*$BK265:$BV265)*(1-$BE265)*$AZ265*$BX265</f>
        <v>0</v>
      </c>
      <c r="BI265" s="350">
        <f t="shared" ca="1" si="1476"/>
        <v>0</v>
      </c>
      <c r="BJ265" s="275" t="str">
        <f t="shared" ca="1" si="1477"/>
        <v>Да</v>
      </c>
      <c r="BK265" s="116">
        <f t="shared" ca="1" si="1478"/>
        <v>0.8</v>
      </c>
      <c r="BL265" s="117">
        <f t="shared" ca="1" si="1478"/>
        <v>0.9</v>
      </c>
      <c r="BM265" s="117">
        <f t="shared" ca="1" si="1478"/>
        <v>1</v>
      </c>
      <c r="BN265" s="117">
        <f t="shared" ca="1" si="1478"/>
        <v>1</v>
      </c>
      <c r="BO265" s="117">
        <f t="shared" ca="1" si="1478"/>
        <v>1</v>
      </c>
      <c r="BP265" s="117">
        <f t="shared" ca="1" si="1478"/>
        <v>1</v>
      </c>
      <c r="BQ265" s="117">
        <f t="shared" ca="1" si="1478"/>
        <v>0.9</v>
      </c>
      <c r="BR265" s="117">
        <f t="shared" ca="1" si="1478"/>
        <v>0.9</v>
      </c>
      <c r="BS265" s="117">
        <f t="shared" ca="1" si="1478"/>
        <v>1.3</v>
      </c>
      <c r="BT265" s="117">
        <f t="shared" ca="1" si="1478"/>
        <v>1.3</v>
      </c>
      <c r="BU265" s="117">
        <f t="shared" ca="1" si="1478"/>
        <v>1.3</v>
      </c>
      <c r="BV265" s="278">
        <f t="shared" ca="1" si="1478"/>
        <v>1.3</v>
      </c>
      <c r="BW265" s="280">
        <f t="shared" si="1421"/>
        <v>9</v>
      </c>
      <c r="BX265" s="118">
        <f>IF($AN265="Ya",100%,100%+extraDelayZ)</f>
        <v>1</v>
      </c>
      <c r="BY265" s="263">
        <f t="shared" ref="BY265" si="1518">(1+AA265)</f>
        <v>1</v>
      </c>
      <c r="BZ265" s="264">
        <f t="shared" ref="BZ265" si="1519">(1+AB265)</f>
        <v>1</v>
      </c>
      <c r="CA265" s="264">
        <f t="shared" ref="CA265" si="1520">(1+AC265)</f>
        <v>1</v>
      </c>
      <c r="CB265" s="264">
        <f t="shared" ref="CB265" si="1521">(1+AD265)</f>
        <v>1</v>
      </c>
      <c r="CC265" s="264">
        <f t="shared" ref="CC265" si="1522">(1+AE265)</f>
        <v>1</v>
      </c>
      <c r="CD265" s="264">
        <f t="shared" ref="CD265" si="1523">(1+AF265)</f>
        <v>1</v>
      </c>
      <c r="CE265" s="264">
        <f t="shared" ref="CE265" si="1524">(1+AG265)</f>
        <v>1</v>
      </c>
      <c r="CF265" s="264">
        <f t="shared" ref="CF265" si="1525">(1+AH265)</f>
        <v>1</v>
      </c>
      <c r="CG265" s="264">
        <f t="shared" ref="CG265" si="1526">(1+AI265)</f>
        <v>1</v>
      </c>
      <c r="CH265" s="264">
        <f t="shared" ref="CH265" si="1527">(1+AJ265)</f>
        <v>1</v>
      </c>
      <c r="CI265" s="264">
        <f t="shared" ref="CI265" si="1528">(1+AK265)</f>
        <v>1</v>
      </c>
      <c r="CJ265" s="265">
        <f t="shared" ref="CJ265" si="1529">(1+AL265)</f>
        <v>1</v>
      </c>
      <c r="CK265" s="269">
        <f t="array" ref="CK265">IF(ISERROR(SUM($K265:$V265*$BY265:$CJ265)/SUM($K265:$V265)),1,SUM($K265:$V265*$BY265:$CJ265)/SUM($K265:$V265))-1</f>
        <v>0</v>
      </c>
      <c r="CL265" s="234"/>
    </row>
    <row r="266" spans="1:90" ht="12.75" hidden="1" outlineLevel="1" x14ac:dyDescent="0.2">
      <c r="B266" s="404" t="str">
        <f t="shared" ca="1" si="1458"/>
        <v>Tv3.ru, 600x90</v>
      </c>
      <c r="C266" s="649" t="str">
        <f t="shared" ca="1" si="1459"/>
        <v>х1000</v>
      </c>
      <c r="D266" s="405">
        <f t="shared" ca="1" si="1460"/>
        <v>200</v>
      </c>
      <c r="E266" s="405">
        <f t="shared" ca="1" si="1461"/>
        <v>200</v>
      </c>
      <c r="F266" s="405">
        <f t="shared" ca="1" si="1462"/>
        <v>200</v>
      </c>
      <c r="G266" s="406">
        <f t="shared" ca="1" si="1463"/>
        <v>200</v>
      </c>
      <c r="H266" s="406">
        <f t="shared" ca="1" si="1464"/>
        <v>200</v>
      </c>
      <c r="I266" s="406">
        <f t="shared" ca="1" si="1465"/>
        <v>0</v>
      </c>
      <c r="J266" s="407">
        <f t="shared" ca="1" si="1466"/>
        <v>0</v>
      </c>
      <c r="K266" s="408"/>
      <c r="L266" s="409"/>
      <c r="M266" s="409"/>
      <c r="N266" s="409"/>
      <c r="O266" s="409"/>
      <c r="P266" s="409"/>
      <c r="Q266" s="409"/>
      <c r="R266" s="409"/>
      <c r="S266" s="409"/>
      <c r="T266" s="409"/>
      <c r="U266" s="409"/>
      <c r="V266" s="410"/>
      <c r="W266" s="406">
        <f t="shared" ca="1" si="1394"/>
        <v>0</v>
      </c>
      <c r="X266" s="406"/>
      <c r="Y266" s="411"/>
      <c r="Z266" s="412">
        <f t="shared" ref="Z266" si="1530">CK266</f>
        <v>0</v>
      </c>
      <c r="AA266" s="413"/>
      <c r="AB266" s="413"/>
      <c r="AC266" s="413"/>
      <c r="AD266" s="413"/>
      <c r="AE266" s="413"/>
      <c r="AF266" s="413"/>
      <c r="AG266" s="413"/>
      <c r="AH266" s="413"/>
      <c r="AI266" s="413"/>
      <c r="AJ266" s="413"/>
      <c r="AK266" s="413"/>
      <c r="AL266" s="413"/>
      <c r="AM266" s="572"/>
      <c r="AN266" s="351" t="s">
        <v>861</v>
      </c>
      <c r="AO266" s="351" t="str">
        <f t="shared" si="1419"/>
        <v>Friday.ru</v>
      </c>
      <c r="AP266" s="115">
        <f t="shared" si="1156"/>
        <v>15</v>
      </c>
      <c r="AQ266" s="31">
        <f t="shared" ca="1" si="1468"/>
        <v>0.25</v>
      </c>
      <c r="AR266" s="31">
        <f t="shared" ca="1" si="1468"/>
        <v>0</v>
      </c>
      <c r="AS266" s="34">
        <v>0</v>
      </c>
      <c r="AT266" s="229">
        <v>0</v>
      </c>
      <c r="AU266" s="344">
        <f t="shared" ca="1" si="1469"/>
        <v>200</v>
      </c>
      <c r="AV266" s="345">
        <f t="shared" ca="1" si="1470"/>
        <v>200</v>
      </c>
      <c r="AW266" s="346">
        <f t="shared" ca="1" si="1471"/>
        <v>200</v>
      </c>
      <c r="AX266" s="280"/>
      <c r="AY266" s="280"/>
      <c r="AZ266" s="347">
        <f t="shared" ca="1" si="1472"/>
        <v>200</v>
      </c>
      <c r="BA266" s="348">
        <f t="shared" ca="1" si="1473"/>
        <v>200</v>
      </c>
      <c r="BB266" s="347">
        <f t="shared" ca="1" si="1474"/>
        <v>1</v>
      </c>
      <c r="BC266" s="37" t="str">
        <f t="shared" ca="1" si="1474"/>
        <v>1000 контактов</v>
      </c>
      <c r="BD266" s="229" t="str">
        <f t="shared" ca="1" si="1475"/>
        <v>х1000</v>
      </c>
      <c r="BE266" s="283">
        <f t="shared" ca="1" si="1420"/>
        <v>0</v>
      </c>
      <c r="BF266" s="347">
        <f t="array" aca="1" ref="BF266" ca="1">SUM($K266:$V266*$BK266:$BV266)*$AZ266</f>
        <v>0</v>
      </c>
      <c r="BG266" s="347">
        <f t="array" aca="1" ref="BG266" ca="1">SUM($K266:$V266*$BY266:$CJ266*$BK266:$BV266)*$AZ266*$BX266</f>
        <v>0</v>
      </c>
      <c r="BH266" s="347">
        <f t="array" aca="1" ref="BH266" ca="1">SUM($K266:$V266*$BY266:$CJ266*$BK266:$BV266)*(1-$BE266)*$AZ266*$BX266</f>
        <v>0</v>
      </c>
      <c r="BI266" s="350">
        <f t="shared" ca="1" si="1476"/>
        <v>0</v>
      </c>
      <c r="BJ266" s="275" t="str">
        <f t="shared" ca="1" si="1477"/>
        <v>Да</v>
      </c>
      <c r="BK266" s="116">
        <f t="shared" ca="1" si="1478"/>
        <v>0.8</v>
      </c>
      <c r="BL266" s="117">
        <f t="shared" ca="1" si="1478"/>
        <v>0.9</v>
      </c>
      <c r="BM266" s="117">
        <f t="shared" ca="1" si="1478"/>
        <v>1</v>
      </c>
      <c r="BN266" s="117">
        <f t="shared" ca="1" si="1478"/>
        <v>1</v>
      </c>
      <c r="BO266" s="117">
        <f t="shared" ca="1" si="1478"/>
        <v>1</v>
      </c>
      <c r="BP266" s="117">
        <f t="shared" ca="1" si="1478"/>
        <v>1</v>
      </c>
      <c r="BQ266" s="117">
        <f t="shared" ca="1" si="1478"/>
        <v>0.9</v>
      </c>
      <c r="BR266" s="117">
        <f t="shared" ca="1" si="1478"/>
        <v>0.9</v>
      </c>
      <c r="BS266" s="117">
        <f t="shared" ca="1" si="1478"/>
        <v>1.3</v>
      </c>
      <c r="BT266" s="117">
        <f t="shared" ca="1" si="1478"/>
        <v>1.3</v>
      </c>
      <c r="BU266" s="117">
        <f t="shared" ca="1" si="1478"/>
        <v>1.3</v>
      </c>
      <c r="BV266" s="278">
        <f t="shared" ca="1" si="1478"/>
        <v>1.3</v>
      </c>
      <c r="BW266" s="280">
        <f t="shared" si="1421"/>
        <v>10</v>
      </c>
      <c r="BX266" s="118">
        <f>IF($AN266="Ya",100%,100%+extraDelayZ)</f>
        <v>1</v>
      </c>
      <c r="BY266" s="263">
        <f t="shared" ref="BY266" si="1531">(1+AA266)</f>
        <v>1</v>
      </c>
      <c r="BZ266" s="264">
        <f t="shared" ref="BZ266" si="1532">(1+AB266)</f>
        <v>1</v>
      </c>
      <c r="CA266" s="264">
        <f t="shared" ref="CA266" si="1533">(1+AC266)</f>
        <v>1</v>
      </c>
      <c r="CB266" s="264">
        <f t="shared" ref="CB266" si="1534">(1+AD266)</f>
        <v>1</v>
      </c>
      <c r="CC266" s="264">
        <f t="shared" ref="CC266" si="1535">(1+AE266)</f>
        <v>1</v>
      </c>
      <c r="CD266" s="264">
        <f t="shared" ref="CD266" si="1536">(1+AF266)</f>
        <v>1</v>
      </c>
      <c r="CE266" s="264">
        <f t="shared" ref="CE266" si="1537">(1+AG266)</f>
        <v>1</v>
      </c>
      <c r="CF266" s="264">
        <f t="shared" ref="CF266" si="1538">(1+AH266)</f>
        <v>1</v>
      </c>
      <c r="CG266" s="264">
        <f t="shared" ref="CG266" si="1539">(1+AI266)</f>
        <v>1</v>
      </c>
      <c r="CH266" s="264">
        <f t="shared" ref="CH266" si="1540">(1+AJ266)</f>
        <v>1</v>
      </c>
      <c r="CI266" s="264">
        <f t="shared" ref="CI266" si="1541">(1+AK266)</f>
        <v>1</v>
      </c>
      <c r="CJ266" s="265">
        <f t="shared" ref="CJ266" si="1542">(1+AL266)</f>
        <v>1</v>
      </c>
      <c r="CK266" s="269">
        <f t="array" ref="CK266">IF(ISERROR(SUM($K266:$V266*$BY266:$CJ266)/SUM($K266:$V266)),1,SUM($K266:$V266*$BY266:$CJ266)/SUM($K266:$V266))-1</f>
        <v>0</v>
      </c>
      <c r="CL266" s="234"/>
    </row>
    <row r="267" spans="1:90" ht="12.75" hidden="1" outlineLevel="1" x14ac:dyDescent="0.2">
      <c r="B267" s="404" t="str">
        <f t="shared" ca="1" si="1458"/>
        <v>Tv3.ru, 240x400</v>
      </c>
      <c r="C267" s="649" t="str">
        <f t="shared" ca="1" si="1459"/>
        <v>х1000</v>
      </c>
      <c r="D267" s="405">
        <f t="shared" ca="1" si="1460"/>
        <v>400</v>
      </c>
      <c r="E267" s="405">
        <f t="shared" ca="1" si="1461"/>
        <v>400</v>
      </c>
      <c r="F267" s="405">
        <f t="shared" ca="1" si="1462"/>
        <v>400</v>
      </c>
      <c r="G267" s="406">
        <f t="shared" ca="1" si="1463"/>
        <v>400</v>
      </c>
      <c r="H267" s="406">
        <f t="shared" ca="1" si="1464"/>
        <v>400</v>
      </c>
      <c r="I267" s="406">
        <f t="shared" ca="1" si="1465"/>
        <v>0</v>
      </c>
      <c r="J267" s="407">
        <f t="shared" ca="1" si="1466"/>
        <v>0</v>
      </c>
      <c r="K267" s="408"/>
      <c r="L267" s="409"/>
      <c r="M267" s="409"/>
      <c r="N267" s="409"/>
      <c r="O267" s="409"/>
      <c r="P267" s="409"/>
      <c r="Q267" s="409"/>
      <c r="R267" s="409"/>
      <c r="S267" s="409"/>
      <c r="T267" s="409"/>
      <c r="U267" s="409"/>
      <c r="V267" s="410"/>
      <c r="W267" s="406">
        <f t="shared" ca="1" si="1394"/>
        <v>0</v>
      </c>
      <c r="X267" s="406"/>
      <c r="Y267" s="411"/>
      <c r="Z267" s="412">
        <f t="shared" ref="Z267" si="1543">CK267</f>
        <v>0</v>
      </c>
      <c r="AA267" s="413"/>
      <c r="AB267" s="413"/>
      <c r="AC267" s="413"/>
      <c r="AD267" s="413"/>
      <c r="AE267" s="413"/>
      <c r="AF267" s="413"/>
      <c r="AG267" s="413"/>
      <c r="AH267" s="413"/>
      <c r="AI267" s="413"/>
      <c r="AJ267" s="413"/>
      <c r="AK267" s="413"/>
      <c r="AL267" s="413"/>
      <c r="AM267" s="572"/>
      <c r="AN267" s="351" t="s">
        <v>861</v>
      </c>
      <c r="AO267" s="351" t="str">
        <f t="shared" si="1419"/>
        <v>Friday.ru</v>
      </c>
      <c r="AP267" s="115">
        <f t="shared" ref="AP267:AP330" si="1544">COUNTIF($AN$10:$AN$353,$AN267)</f>
        <v>15</v>
      </c>
      <c r="AQ267" s="31">
        <f t="shared" ca="1" si="1468"/>
        <v>0.25</v>
      </c>
      <c r="AR267" s="31">
        <f t="shared" ca="1" si="1468"/>
        <v>0</v>
      </c>
      <c r="AS267" s="34">
        <v>0</v>
      </c>
      <c r="AT267" s="229">
        <v>0</v>
      </c>
      <c r="AU267" s="344">
        <f t="shared" ca="1" si="1469"/>
        <v>400</v>
      </c>
      <c r="AV267" s="345">
        <f t="shared" ca="1" si="1470"/>
        <v>400</v>
      </c>
      <c r="AW267" s="346">
        <f t="shared" ca="1" si="1471"/>
        <v>400</v>
      </c>
      <c r="AX267" s="280"/>
      <c r="AY267" s="280"/>
      <c r="AZ267" s="347">
        <f t="shared" ca="1" si="1472"/>
        <v>400</v>
      </c>
      <c r="BA267" s="348">
        <f t="shared" ca="1" si="1473"/>
        <v>400</v>
      </c>
      <c r="BB267" s="347">
        <f t="shared" ca="1" si="1474"/>
        <v>1</v>
      </c>
      <c r="BC267" s="37" t="str">
        <f t="shared" ca="1" si="1474"/>
        <v>1000 контактов</v>
      </c>
      <c r="BD267" s="229" t="str">
        <f t="shared" ca="1" si="1475"/>
        <v>х1000</v>
      </c>
      <c r="BE267" s="283">
        <f t="shared" ca="1" si="1420"/>
        <v>0</v>
      </c>
      <c r="BF267" s="347">
        <f t="array" aca="1" ref="BF267" ca="1">SUM($K267:$V267*$BK267:$BV267)*$AZ267</f>
        <v>0</v>
      </c>
      <c r="BG267" s="347">
        <f t="array" aca="1" ref="BG267" ca="1">SUM($K267:$V267*$BY267:$CJ267*$BK267:$BV267)*$AZ267*$BX267</f>
        <v>0</v>
      </c>
      <c r="BH267" s="347">
        <f t="array" aca="1" ref="BH267" ca="1">SUM($K267:$V267*$BY267:$CJ267*$BK267:$BV267)*(1-$BE267)*$AZ267*$BX267</f>
        <v>0</v>
      </c>
      <c r="BI267" s="350">
        <f t="shared" ca="1" si="1476"/>
        <v>0</v>
      </c>
      <c r="BJ267" s="275" t="str">
        <f t="shared" ca="1" si="1477"/>
        <v>Да</v>
      </c>
      <c r="BK267" s="116">
        <f t="shared" ca="1" si="1478"/>
        <v>0.8</v>
      </c>
      <c r="BL267" s="117">
        <f t="shared" ca="1" si="1478"/>
        <v>0.9</v>
      </c>
      <c r="BM267" s="117">
        <f t="shared" ca="1" si="1478"/>
        <v>1</v>
      </c>
      <c r="BN267" s="117">
        <f t="shared" ca="1" si="1478"/>
        <v>1</v>
      </c>
      <c r="BO267" s="117">
        <f t="shared" ca="1" si="1478"/>
        <v>1</v>
      </c>
      <c r="BP267" s="117">
        <f t="shared" ca="1" si="1478"/>
        <v>1</v>
      </c>
      <c r="BQ267" s="117">
        <f t="shared" ca="1" si="1478"/>
        <v>0.9</v>
      </c>
      <c r="BR267" s="117">
        <f t="shared" ca="1" si="1478"/>
        <v>0.9</v>
      </c>
      <c r="BS267" s="117">
        <f t="shared" ca="1" si="1478"/>
        <v>1.3</v>
      </c>
      <c r="BT267" s="117">
        <f t="shared" ca="1" si="1478"/>
        <v>1.3</v>
      </c>
      <c r="BU267" s="117">
        <f t="shared" ca="1" si="1478"/>
        <v>1.3</v>
      </c>
      <c r="BV267" s="278">
        <f t="shared" ca="1" si="1478"/>
        <v>1.3</v>
      </c>
      <c r="BW267" s="280">
        <f t="shared" si="1421"/>
        <v>11</v>
      </c>
      <c r="BX267" s="118">
        <f>IF($AN267="Ya",100%,100%+extraDelayZ)</f>
        <v>1</v>
      </c>
      <c r="BY267" s="263">
        <f t="shared" ref="BY267" si="1545">(1+AA267)</f>
        <v>1</v>
      </c>
      <c r="BZ267" s="264">
        <f t="shared" ref="BZ267" si="1546">(1+AB267)</f>
        <v>1</v>
      </c>
      <c r="CA267" s="264">
        <f t="shared" ref="CA267" si="1547">(1+AC267)</f>
        <v>1</v>
      </c>
      <c r="CB267" s="264">
        <f t="shared" ref="CB267" si="1548">(1+AD267)</f>
        <v>1</v>
      </c>
      <c r="CC267" s="264">
        <f t="shared" ref="CC267" si="1549">(1+AE267)</f>
        <v>1</v>
      </c>
      <c r="CD267" s="264">
        <f t="shared" ref="CD267" si="1550">(1+AF267)</f>
        <v>1</v>
      </c>
      <c r="CE267" s="264">
        <f t="shared" ref="CE267" si="1551">(1+AG267)</f>
        <v>1</v>
      </c>
      <c r="CF267" s="264">
        <f t="shared" ref="CF267" si="1552">(1+AH267)</f>
        <v>1</v>
      </c>
      <c r="CG267" s="264">
        <f t="shared" ref="CG267" si="1553">(1+AI267)</f>
        <v>1</v>
      </c>
      <c r="CH267" s="264">
        <f t="shared" ref="CH267" si="1554">(1+AJ267)</f>
        <v>1</v>
      </c>
      <c r="CI267" s="264">
        <f t="shared" ref="CI267" si="1555">(1+AK267)</f>
        <v>1</v>
      </c>
      <c r="CJ267" s="265">
        <f t="shared" ref="CJ267" si="1556">(1+AL267)</f>
        <v>1</v>
      </c>
      <c r="CK267" s="269">
        <f t="array" ref="CK267">IF(ISERROR(SUM($K267:$V267*$BY267:$CJ267)/SUM($K267:$V267)),1,SUM($K267:$V267*$BY267:$CJ267)/SUM($K267:$V267))-1</f>
        <v>0</v>
      </c>
      <c r="CL267" s="234"/>
    </row>
    <row r="268" spans="1:90" ht="12.75" hidden="1" outlineLevel="1" x14ac:dyDescent="0.2">
      <c r="B268" s="404" t="str">
        <f t="shared" ca="1" si="1458"/>
        <v>Tv3.ru, FullScreen</v>
      </c>
      <c r="C268" s="649" t="str">
        <f t="shared" ca="1" si="1459"/>
        <v>х1000</v>
      </c>
      <c r="D268" s="405">
        <f t="shared" ca="1" si="1460"/>
        <v>1500</v>
      </c>
      <c r="E268" s="405">
        <f t="shared" ca="1" si="1461"/>
        <v>1500</v>
      </c>
      <c r="F268" s="405">
        <f t="shared" ca="1" si="1462"/>
        <v>1500</v>
      </c>
      <c r="G268" s="406">
        <f t="shared" ca="1" si="1463"/>
        <v>1500</v>
      </c>
      <c r="H268" s="406">
        <f t="shared" ca="1" si="1464"/>
        <v>1500</v>
      </c>
      <c r="I268" s="406">
        <f t="shared" ca="1" si="1465"/>
        <v>0</v>
      </c>
      <c r="J268" s="407">
        <f t="shared" ca="1" si="1466"/>
        <v>0</v>
      </c>
      <c r="K268" s="408"/>
      <c r="L268" s="409"/>
      <c r="M268" s="409"/>
      <c r="N268" s="409"/>
      <c r="O268" s="409"/>
      <c r="P268" s="409"/>
      <c r="Q268" s="409"/>
      <c r="R268" s="409"/>
      <c r="S268" s="409"/>
      <c r="T268" s="409"/>
      <c r="U268" s="409"/>
      <c r="V268" s="410"/>
      <c r="W268" s="406">
        <f t="shared" ca="1" si="1394"/>
        <v>0</v>
      </c>
      <c r="X268" s="406"/>
      <c r="Y268" s="411"/>
      <c r="Z268" s="412">
        <f t="shared" si="1467"/>
        <v>0</v>
      </c>
      <c r="AA268" s="413"/>
      <c r="AB268" s="413"/>
      <c r="AC268" s="413"/>
      <c r="AD268" s="413"/>
      <c r="AE268" s="413"/>
      <c r="AF268" s="413"/>
      <c r="AG268" s="413"/>
      <c r="AH268" s="413"/>
      <c r="AI268" s="413"/>
      <c r="AJ268" s="413"/>
      <c r="AK268" s="413"/>
      <c r="AL268" s="413"/>
      <c r="AM268" s="572"/>
      <c r="AN268" s="351" t="s">
        <v>861</v>
      </c>
      <c r="AO268" s="351" t="str">
        <f t="shared" si="1419"/>
        <v>Friday.ru</v>
      </c>
      <c r="AP268" s="115">
        <f t="shared" si="1544"/>
        <v>15</v>
      </c>
      <c r="AQ268" s="31">
        <f t="shared" ca="1" si="1468"/>
        <v>0.25</v>
      </c>
      <c r="AR268" s="31">
        <f t="shared" ca="1" si="1468"/>
        <v>0</v>
      </c>
      <c r="AS268" s="34">
        <v>0</v>
      </c>
      <c r="AT268" s="229">
        <v>0</v>
      </c>
      <c r="AU268" s="344">
        <f t="shared" ca="1" si="1469"/>
        <v>1500</v>
      </c>
      <c r="AV268" s="345">
        <f t="shared" ca="1" si="1470"/>
        <v>1500</v>
      </c>
      <c r="AW268" s="346">
        <f t="shared" ca="1" si="1471"/>
        <v>1500</v>
      </c>
      <c r="AX268" s="280"/>
      <c r="AY268" s="280"/>
      <c r="AZ268" s="347">
        <f t="shared" ca="1" si="1472"/>
        <v>1500</v>
      </c>
      <c r="BA268" s="348">
        <f t="shared" ca="1" si="1473"/>
        <v>1500</v>
      </c>
      <c r="BB268" s="347">
        <f t="shared" ca="1" si="1474"/>
        <v>1</v>
      </c>
      <c r="BC268" s="37" t="str">
        <f t="shared" ca="1" si="1474"/>
        <v>1000 контактов</v>
      </c>
      <c r="BD268" s="229" t="str">
        <f t="shared" ca="1" si="1475"/>
        <v>х1000</v>
      </c>
      <c r="BE268" s="283">
        <f t="shared" ca="1" si="1420"/>
        <v>0</v>
      </c>
      <c r="BF268" s="347">
        <f t="array" aca="1" ref="BF268" ca="1">SUM($K268:$V268*$BK268:$BV268)*$AZ268</f>
        <v>0</v>
      </c>
      <c r="BG268" s="347">
        <f t="array" aca="1" ref="BG268" ca="1">SUM($K268:$V268*$BY268:$CJ268*$BK268:$BV268)*$AZ268*$BX268</f>
        <v>0</v>
      </c>
      <c r="BH268" s="347">
        <f t="array" aca="1" ref="BH268" ca="1">SUM($K268:$V268*$BY268:$CJ268*$BK268:$BV268)*(1-$BE268)*$AZ268*$BX268</f>
        <v>0</v>
      </c>
      <c r="BI268" s="350">
        <f t="shared" ca="1" si="1476"/>
        <v>0</v>
      </c>
      <c r="BJ268" s="275" t="str">
        <f t="shared" ca="1" si="1477"/>
        <v>Да</v>
      </c>
      <c r="BK268" s="116">
        <f t="shared" ref="BK268:BV271" ca="1" si="1557">IF($BJ268="Особ.",INDEX(INDIRECT(LOWER($AN268)&amp;"Season2"),BK$9),IF($BJ268="Да",INDEX(INDIRECT(LOWER($AN268)&amp;"Season"),BK$9),100%))</f>
        <v>0.8</v>
      </c>
      <c r="BL268" s="117">
        <f t="shared" ca="1" si="1557"/>
        <v>0.9</v>
      </c>
      <c r="BM268" s="117">
        <f t="shared" ca="1" si="1557"/>
        <v>1</v>
      </c>
      <c r="BN268" s="117">
        <f t="shared" ca="1" si="1557"/>
        <v>1</v>
      </c>
      <c r="BO268" s="117">
        <f t="shared" ca="1" si="1557"/>
        <v>1</v>
      </c>
      <c r="BP268" s="117">
        <f t="shared" ca="1" si="1557"/>
        <v>1</v>
      </c>
      <c r="BQ268" s="117">
        <f t="shared" ca="1" si="1557"/>
        <v>0.9</v>
      </c>
      <c r="BR268" s="117">
        <f t="shared" ca="1" si="1557"/>
        <v>0.9</v>
      </c>
      <c r="BS268" s="117">
        <f t="shared" ca="1" si="1557"/>
        <v>1.3</v>
      </c>
      <c r="BT268" s="117">
        <f t="shared" ca="1" si="1557"/>
        <v>1.3</v>
      </c>
      <c r="BU268" s="117">
        <f t="shared" ca="1" si="1557"/>
        <v>1.3</v>
      </c>
      <c r="BV268" s="278">
        <f t="shared" ca="1" si="1557"/>
        <v>1.3</v>
      </c>
      <c r="BW268" s="280">
        <f t="shared" si="1421"/>
        <v>12</v>
      </c>
      <c r="BX268" s="118">
        <f>IF($AN268="Ya",100%,100%+extraDelayZ)</f>
        <v>1</v>
      </c>
      <c r="BY268" s="263">
        <f t="shared" si="1479"/>
        <v>1</v>
      </c>
      <c r="BZ268" s="264">
        <f t="shared" si="1480"/>
        <v>1</v>
      </c>
      <c r="CA268" s="264">
        <f t="shared" si="1481"/>
        <v>1</v>
      </c>
      <c r="CB268" s="264">
        <f t="shared" si="1482"/>
        <v>1</v>
      </c>
      <c r="CC268" s="264">
        <f t="shared" si="1483"/>
        <v>1</v>
      </c>
      <c r="CD268" s="264">
        <f t="shared" si="1484"/>
        <v>1</v>
      </c>
      <c r="CE268" s="264">
        <f t="shared" si="1485"/>
        <v>1</v>
      </c>
      <c r="CF268" s="264">
        <f t="shared" si="1486"/>
        <v>1</v>
      </c>
      <c r="CG268" s="264">
        <f t="shared" si="1487"/>
        <v>1</v>
      </c>
      <c r="CH268" s="264">
        <f t="shared" si="1488"/>
        <v>1</v>
      </c>
      <c r="CI268" s="264">
        <f t="shared" si="1489"/>
        <v>1</v>
      </c>
      <c r="CJ268" s="265">
        <f t="shared" si="1490"/>
        <v>1</v>
      </c>
      <c r="CK268" s="269">
        <f t="array" ref="CK268">IF(ISERROR(SUM($K268:$V268*$BY268:$CJ268)/SUM($K268:$V268)),1,SUM($K268:$V268*$BY268:$CJ268)/SUM($K268:$V268))-1</f>
        <v>0</v>
      </c>
      <c r="CL268" s="234"/>
    </row>
    <row r="269" spans="1:90" ht="12.75" hidden="1" outlineLevel="1" x14ac:dyDescent="0.2">
      <c r="B269" s="404" t="str">
        <f t="shared" ca="1" si="1458"/>
        <v>2x2tv.ru, 600х90</v>
      </c>
      <c r="C269" s="649" t="str">
        <f t="shared" ca="1" si="1459"/>
        <v>х1000</v>
      </c>
      <c r="D269" s="405">
        <f t="shared" ca="1" si="1460"/>
        <v>200</v>
      </c>
      <c r="E269" s="405">
        <f t="shared" ca="1" si="1461"/>
        <v>200</v>
      </c>
      <c r="F269" s="405">
        <f t="shared" ca="1" si="1462"/>
        <v>200</v>
      </c>
      <c r="G269" s="406">
        <f t="shared" ca="1" si="1463"/>
        <v>200</v>
      </c>
      <c r="H269" s="406">
        <f t="shared" ca="1" si="1464"/>
        <v>200</v>
      </c>
      <c r="I269" s="406">
        <f t="shared" ca="1" si="1465"/>
        <v>0</v>
      </c>
      <c r="J269" s="407">
        <f t="shared" ca="1" si="1466"/>
        <v>0</v>
      </c>
      <c r="K269" s="408"/>
      <c r="L269" s="409"/>
      <c r="M269" s="409"/>
      <c r="N269" s="409"/>
      <c r="O269" s="409"/>
      <c r="P269" s="409"/>
      <c r="Q269" s="409"/>
      <c r="R269" s="409"/>
      <c r="S269" s="409"/>
      <c r="T269" s="409"/>
      <c r="U269" s="409"/>
      <c r="V269" s="410"/>
      <c r="W269" s="406">
        <f t="shared" ca="1" si="1394"/>
        <v>0</v>
      </c>
      <c r="X269" s="406"/>
      <c r="Y269" s="411"/>
      <c r="Z269" s="412">
        <f t="shared" si="1467"/>
        <v>0</v>
      </c>
      <c r="AA269" s="413"/>
      <c r="AB269" s="413"/>
      <c r="AC269" s="413"/>
      <c r="AD269" s="413"/>
      <c r="AE269" s="413"/>
      <c r="AF269" s="413"/>
      <c r="AG269" s="413"/>
      <c r="AH269" s="413"/>
      <c r="AI269" s="413"/>
      <c r="AJ269" s="413"/>
      <c r="AK269" s="413"/>
      <c r="AL269" s="413"/>
      <c r="AM269" s="572"/>
      <c r="AN269" s="351" t="s">
        <v>861</v>
      </c>
      <c r="AO269" s="351" t="str">
        <f t="shared" si="1419"/>
        <v>Friday.ru</v>
      </c>
      <c r="AP269" s="115">
        <f t="shared" si="1544"/>
        <v>15</v>
      </c>
      <c r="AQ269" s="31">
        <f t="shared" ca="1" si="1468"/>
        <v>0.25</v>
      </c>
      <c r="AR269" s="31">
        <f t="shared" ca="1" si="1468"/>
        <v>0</v>
      </c>
      <c r="AS269" s="35">
        <v>0</v>
      </c>
      <c r="AT269" s="229">
        <v>0</v>
      </c>
      <c r="AU269" s="344">
        <f t="shared" ca="1" si="1469"/>
        <v>200</v>
      </c>
      <c r="AV269" s="345">
        <f t="shared" ca="1" si="1470"/>
        <v>200</v>
      </c>
      <c r="AW269" s="346">
        <f t="shared" ca="1" si="1471"/>
        <v>200</v>
      </c>
      <c r="AX269" s="280"/>
      <c r="AY269" s="280"/>
      <c r="AZ269" s="347">
        <f t="shared" ca="1" si="1472"/>
        <v>200</v>
      </c>
      <c r="BA269" s="348">
        <f t="shared" ca="1" si="1473"/>
        <v>200</v>
      </c>
      <c r="BB269" s="347">
        <f t="shared" ca="1" si="1474"/>
        <v>1</v>
      </c>
      <c r="BC269" s="37" t="str">
        <f t="shared" ca="1" si="1474"/>
        <v>1000 контактов</v>
      </c>
      <c r="BD269" s="229" t="str">
        <f t="shared" ca="1" si="1475"/>
        <v>х1000</v>
      </c>
      <c r="BE269" s="283">
        <f t="shared" ca="1" si="1420"/>
        <v>0</v>
      </c>
      <c r="BF269" s="347">
        <f t="array" aca="1" ref="BF269" ca="1">SUM($K269:$V269*$BK269:$BV269)*$AZ269</f>
        <v>0</v>
      </c>
      <c r="BG269" s="347">
        <f t="array" aca="1" ref="BG269" ca="1">SUM($K269:$V269*$BY269:$CJ269*$BK269:$BV269)*$AZ269*$BX269</f>
        <v>0</v>
      </c>
      <c r="BH269" s="347">
        <f t="array" aca="1" ref="BH269" ca="1">SUM($K269:$V269*$BY269:$CJ269*$BK269:$BV269)*(1-$BE269)*$AZ269*$BX269</f>
        <v>0</v>
      </c>
      <c r="BI269" s="350">
        <f t="shared" ca="1" si="1476"/>
        <v>0</v>
      </c>
      <c r="BJ269" s="275" t="str">
        <f t="shared" ca="1" si="1477"/>
        <v>Да</v>
      </c>
      <c r="BK269" s="116">
        <f t="shared" ca="1" si="1557"/>
        <v>0.8</v>
      </c>
      <c r="BL269" s="117">
        <f t="shared" ca="1" si="1557"/>
        <v>0.9</v>
      </c>
      <c r="BM269" s="117">
        <f t="shared" ca="1" si="1557"/>
        <v>1</v>
      </c>
      <c r="BN269" s="117">
        <f t="shared" ca="1" si="1557"/>
        <v>1</v>
      </c>
      <c r="BO269" s="117">
        <f t="shared" ca="1" si="1557"/>
        <v>1</v>
      </c>
      <c r="BP269" s="117">
        <f t="shared" ca="1" si="1557"/>
        <v>1</v>
      </c>
      <c r="BQ269" s="117">
        <f t="shared" ca="1" si="1557"/>
        <v>0.9</v>
      </c>
      <c r="BR269" s="117">
        <f t="shared" ca="1" si="1557"/>
        <v>0.9</v>
      </c>
      <c r="BS269" s="117">
        <f t="shared" ca="1" si="1557"/>
        <v>1.3</v>
      </c>
      <c r="BT269" s="117">
        <f t="shared" ca="1" si="1557"/>
        <v>1.3</v>
      </c>
      <c r="BU269" s="117">
        <f t="shared" ca="1" si="1557"/>
        <v>1.3</v>
      </c>
      <c r="BV269" s="278">
        <f t="shared" ca="1" si="1557"/>
        <v>1.3</v>
      </c>
      <c r="BW269" s="280">
        <f t="shared" si="1421"/>
        <v>13</v>
      </c>
      <c r="BX269" s="118">
        <f>IF($AN269="Ya",100%,100%+extraDelayZ)</f>
        <v>1</v>
      </c>
      <c r="BY269" s="263">
        <f t="shared" si="1479"/>
        <v>1</v>
      </c>
      <c r="BZ269" s="264">
        <f t="shared" si="1480"/>
        <v>1</v>
      </c>
      <c r="CA269" s="264">
        <f t="shared" si="1481"/>
        <v>1</v>
      </c>
      <c r="CB269" s="264">
        <f t="shared" si="1482"/>
        <v>1</v>
      </c>
      <c r="CC269" s="264">
        <f t="shared" si="1483"/>
        <v>1</v>
      </c>
      <c r="CD269" s="264">
        <f t="shared" si="1484"/>
        <v>1</v>
      </c>
      <c r="CE269" s="264">
        <f t="shared" si="1485"/>
        <v>1</v>
      </c>
      <c r="CF269" s="264">
        <f t="shared" si="1486"/>
        <v>1</v>
      </c>
      <c r="CG269" s="264">
        <f t="shared" si="1487"/>
        <v>1</v>
      </c>
      <c r="CH269" s="264">
        <f t="shared" si="1488"/>
        <v>1</v>
      </c>
      <c r="CI269" s="264">
        <f t="shared" si="1489"/>
        <v>1</v>
      </c>
      <c r="CJ269" s="265">
        <f t="shared" si="1490"/>
        <v>1</v>
      </c>
      <c r="CK269" s="269">
        <f t="array" ref="CK269">IF(ISERROR(SUM($K269:$V269*$BY269:$CJ269)/SUM($K269:$V269)),1,SUM($K269:$V269*$BY269:$CJ269)/SUM($K269:$V269))-1</f>
        <v>0</v>
      </c>
      <c r="CL269" s="234"/>
    </row>
    <row r="270" spans="1:90" ht="12.75" hidden="1" outlineLevel="1" x14ac:dyDescent="0.2">
      <c r="B270" s="404" t="str">
        <f t="shared" ca="1" si="1458"/>
        <v>2x2tv.ru, 240x400</v>
      </c>
      <c r="C270" s="649" t="str">
        <f t="shared" ca="1" si="1459"/>
        <v>х1000</v>
      </c>
      <c r="D270" s="405">
        <f t="shared" ca="1" si="1460"/>
        <v>400</v>
      </c>
      <c r="E270" s="405">
        <f t="shared" ca="1" si="1461"/>
        <v>400</v>
      </c>
      <c r="F270" s="405">
        <f t="shared" ca="1" si="1462"/>
        <v>400</v>
      </c>
      <c r="G270" s="406">
        <f t="shared" ca="1" si="1463"/>
        <v>400</v>
      </c>
      <c r="H270" s="406">
        <f t="shared" ca="1" si="1464"/>
        <v>400</v>
      </c>
      <c r="I270" s="406">
        <f t="shared" ca="1" si="1465"/>
        <v>0</v>
      </c>
      <c r="J270" s="407">
        <f t="shared" ca="1" si="1466"/>
        <v>0</v>
      </c>
      <c r="K270" s="408"/>
      <c r="L270" s="409"/>
      <c r="M270" s="409"/>
      <c r="N270" s="409"/>
      <c r="O270" s="409"/>
      <c r="P270" s="409"/>
      <c r="Q270" s="409"/>
      <c r="R270" s="409"/>
      <c r="S270" s="409"/>
      <c r="T270" s="409"/>
      <c r="U270" s="409"/>
      <c r="V270" s="410"/>
      <c r="W270" s="406">
        <f t="shared" ca="1" si="1394"/>
        <v>0</v>
      </c>
      <c r="X270" s="406"/>
      <c r="Y270" s="411"/>
      <c r="Z270" s="412">
        <f t="shared" si="1467"/>
        <v>0</v>
      </c>
      <c r="AA270" s="413"/>
      <c r="AB270" s="413"/>
      <c r="AC270" s="413"/>
      <c r="AD270" s="413"/>
      <c r="AE270" s="413"/>
      <c r="AF270" s="413"/>
      <c r="AG270" s="413"/>
      <c r="AH270" s="413"/>
      <c r="AI270" s="413"/>
      <c r="AJ270" s="413"/>
      <c r="AK270" s="413"/>
      <c r="AL270" s="413"/>
      <c r="AM270" s="572"/>
      <c r="AN270" s="351" t="s">
        <v>861</v>
      </c>
      <c r="AO270" s="351" t="str">
        <f t="shared" si="1419"/>
        <v>Friday.ru</v>
      </c>
      <c r="AP270" s="115">
        <f t="shared" si="1544"/>
        <v>15</v>
      </c>
      <c r="AQ270" s="31">
        <f t="shared" ca="1" si="1468"/>
        <v>0.25</v>
      </c>
      <c r="AR270" s="31">
        <f t="shared" ca="1" si="1468"/>
        <v>0</v>
      </c>
      <c r="AS270" s="34">
        <v>0</v>
      </c>
      <c r="AT270" s="229">
        <v>0</v>
      </c>
      <c r="AU270" s="344">
        <f t="shared" ca="1" si="1469"/>
        <v>400</v>
      </c>
      <c r="AV270" s="345">
        <f t="shared" ca="1" si="1470"/>
        <v>400</v>
      </c>
      <c r="AW270" s="346">
        <f t="shared" ca="1" si="1471"/>
        <v>400</v>
      </c>
      <c r="AX270" s="280"/>
      <c r="AY270" s="280"/>
      <c r="AZ270" s="347">
        <f t="shared" ca="1" si="1472"/>
        <v>400</v>
      </c>
      <c r="BA270" s="348">
        <f t="shared" ca="1" si="1473"/>
        <v>400</v>
      </c>
      <c r="BB270" s="347">
        <f t="shared" ca="1" si="1474"/>
        <v>1</v>
      </c>
      <c r="BC270" s="37" t="str">
        <f t="shared" ca="1" si="1474"/>
        <v>1000 контактов</v>
      </c>
      <c r="BD270" s="229" t="str">
        <f t="shared" ca="1" si="1475"/>
        <v>х1000</v>
      </c>
      <c r="BE270" s="283">
        <f t="shared" ca="1" si="1420"/>
        <v>0</v>
      </c>
      <c r="BF270" s="347">
        <f t="array" aca="1" ref="BF270" ca="1">SUM($K270:$V270*$BK270:$BV270)*$AZ270</f>
        <v>0</v>
      </c>
      <c r="BG270" s="347">
        <f t="array" aca="1" ref="BG270" ca="1">SUM($K270:$V270*$BY270:$CJ270*$BK270:$BV270)*$AZ270*$BX270</f>
        <v>0</v>
      </c>
      <c r="BH270" s="347">
        <f t="array" aca="1" ref="BH270" ca="1">SUM($K270:$V270*$BY270:$CJ270*$BK270:$BV270)*(1-$BE270)*$AZ270*$BX270</f>
        <v>0</v>
      </c>
      <c r="BI270" s="350">
        <f t="shared" ca="1" si="1476"/>
        <v>0</v>
      </c>
      <c r="BJ270" s="275" t="str">
        <f t="shared" ca="1" si="1477"/>
        <v>Да</v>
      </c>
      <c r="BK270" s="116">
        <f t="shared" ca="1" si="1557"/>
        <v>0.8</v>
      </c>
      <c r="BL270" s="117">
        <f t="shared" ca="1" si="1557"/>
        <v>0.9</v>
      </c>
      <c r="BM270" s="117">
        <f t="shared" ca="1" si="1557"/>
        <v>1</v>
      </c>
      <c r="BN270" s="117">
        <f t="shared" ca="1" si="1557"/>
        <v>1</v>
      </c>
      <c r="BO270" s="117">
        <f t="shared" ca="1" si="1557"/>
        <v>1</v>
      </c>
      <c r="BP270" s="117">
        <f t="shared" ca="1" si="1557"/>
        <v>1</v>
      </c>
      <c r="BQ270" s="117">
        <f t="shared" ca="1" si="1557"/>
        <v>0.9</v>
      </c>
      <c r="BR270" s="117">
        <f t="shared" ca="1" si="1557"/>
        <v>0.9</v>
      </c>
      <c r="BS270" s="117">
        <f t="shared" ca="1" si="1557"/>
        <v>1.3</v>
      </c>
      <c r="BT270" s="117">
        <f t="shared" ca="1" si="1557"/>
        <v>1.3</v>
      </c>
      <c r="BU270" s="117">
        <f t="shared" ca="1" si="1557"/>
        <v>1.3</v>
      </c>
      <c r="BV270" s="278">
        <f t="shared" ca="1" si="1557"/>
        <v>1.3</v>
      </c>
      <c r="BW270" s="280">
        <f t="shared" si="1421"/>
        <v>14</v>
      </c>
      <c r="BX270" s="118">
        <f>IF($AN270="Ya",100%,100%+extraDelayZ)</f>
        <v>1</v>
      </c>
      <c r="BY270" s="263">
        <f t="shared" si="1479"/>
        <v>1</v>
      </c>
      <c r="BZ270" s="264">
        <f t="shared" si="1480"/>
        <v>1</v>
      </c>
      <c r="CA270" s="264">
        <f t="shared" si="1481"/>
        <v>1</v>
      </c>
      <c r="CB270" s="264">
        <f t="shared" si="1482"/>
        <v>1</v>
      </c>
      <c r="CC270" s="264">
        <f t="shared" si="1483"/>
        <v>1</v>
      </c>
      <c r="CD270" s="264">
        <f t="shared" si="1484"/>
        <v>1</v>
      </c>
      <c r="CE270" s="264">
        <f t="shared" si="1485"/>
        <v>1</v>
      </c>
      <c r="CF270" s="264">
        <f t="shared" si="1486"/>
        <v>1</v>
      </c>
      <c r="CG270" s="264">
        <f t="shared" si="1487"/>
        <v>1</v>
      </c>
      <c r="CH270" s="264">
        <f t="shared" si="1488"/>
        <v>1</v>
      </c>
      <c r="CI270" s="264">
        <f t="shared" si="1489"/>
        <v>1</v>
      </c>
      <c r="CJ270" s="265">
        <f t="shared" si="1490"/>
        <v>1</v>
      </c>
      <c r="CK270" s="269">
        <f t="array" ref="CK270">IF(ISERROR(SUM($K270:$V270*$BY270:$CJ270)/SUM($K270:$V270)),1,SUM($K270:$V270*$BY270:$CJ270)/SUM($K270:$V270))-1</f>
        <v>0</v>
      </c>
      <c r="CL270" s="234"/>
    </row>
    <row r="271" spans="1:90" ht="12.75" hidden="1" outlineLevel="1" x14ac:dyDescent="0.2">
      <c r="B271" s="414" t="str">
        <f t="shared" ca="1" si="1458"/>
        <v>2x2tv.ru, FullScreen</v>
      </c>
      <c r="C271" s="649" t="str">
        <f t="shared" ca="1" si="1459"/>
        <v>х1000</v>
      </c>
      <c r="D271" s="415">
        <f t="shared" ca="1" si="1460"/>
        <v>1500</v>
      </c>
      <c r="E271" s="415">
        <f t="shared" ca="1" si="1461"/>
        <v>1500</v>
      </c>
      <c r="F271" s="415">
        <f t="shared" ca="1" si="1462"/>
        <v>1500</v>
      </c>
      <c r="G271" s="416">
        <f t="shared" ca="1" si="1463"/>
        <v>1500</v>
      </c>
      <c r="H271" s="416">
        <f t="shared" ca="1" si="1464"/>
        <v>1500</v>
      </c>
      <c r="I271" s="406">
        <f t="shared" ca="1" si="1465"/>
        <v>0</v>
      </c>
      <c r="J271" s="407">
        <f t="shared" ca="1" si="1466"/>
        <v>0</v>
      </c>
      <c r="K271" s="417"/>
      <c r="L271" s="418"/>
      <c r="M271" s="418"/>
      <c r="N271" s="418"/>
      <c r="O271" s="418"/>
      <c r="P271" s="418"/>
      <c r="Q271" s="418"/>
      <c r="R271" s="418"/>
      <c r="S271" s="418"/>
      <c r="T271" s="418"/>
      <c r="U271" s="418"/>
      <c r="V271" s="419"/>
      <c r="W271" s="416">
        <f t="shared" ca="1" si="1394"/>
        <v>0</v>
      </c>
      <c r="X271" s="416"/>
      <c r="Y271" s="420"/>
      <c r="Z271" s="412">
        <f t="shared" si="1467"/>
        <v>0</v>
      </c>
      <c r="AA271" s="421"/>
      <c r="AB271" s="421"/>
      <c r="AC271" s="421"/>
      <c r="AD271" s="421"/>
      <c r="AE271" s="421"/>
      <c r="AF271" s="421"/>
      <c r="AG271" s="421"/>
      <c r="AH271" s="421"/>
      <c r="AI271" s="421"/>
      <c r="AJ271" s="421"/>
      <c r="AK271" s="421"/>
      <c r="AL271" s="421"/>
      <c r="AM271" s="573"/>
      <c r="AN271" s="351" t="s">
        <v>861</v>
      </c>
      <c r="AO271" s="351" t="str">
        <f t="shared" si="1419"/>
        <v>Friday.ru</v>
      </c>
      <c r="AP271" s="115">
        <f t="shared" si="1544"/>
        <v>15</v>
      </c>
      <c r="AQ271" s="31">
        <f t="shared" ca="1" si="1468"/>
        <v>0.25</v>
      </c>
      <c r="AR271" s="31">
        <f t="shared" ca="1" si="1468"/>
        <v>0</v>
      </c>
      <c r="AS271" s="34">
        <v>0</v>
      </c>
      <c r="AT271" s="229">
        <v>0</v>
      </c>
      <c r="AU271" s="344">
        <f t="shared" ca="1" si="1469"/>
        <v>1500</v>
      </c>
      <c r="AV271" s="345">
        <f t="shared" ca="1" si="1470"/>
        <v>1500</v>
      </c>
      <c r="AW271" s="346">
        <f t="shared" ca="1" si="1471"/>
        <v>1500</v>
      </c>
      <c r="AX271" s="280"/>
      <c r="AY271" s="280"/>
      <c r="AZ271" s="347">
        <f t="shared" ca="1" si="1472"/>
        <v>1500</v>
      </c>
      <c r="BA271" s="348">
        <f t="shared" ca="1" si="1473"/>
        <v>1500</v>
      </c>
      <c r="BB271" s="347">
        <f t="shared" ca="1" si="1474"/>
        <v>1</v>
      </c>
      <c r="BC271" s="37" t="str">
        <f t="shared" ca="1" si="1474"/>
        <v>1000 контактов</v>
      </c>
      <c r="BD271" s="229" t="str">
        <f t="shared" ca="1" si="1475"/>
        <v>х1000</v>
      </c>
      <c r="BE271" s="283">
        <f t="shared" ca="1" si="1420"/>
        <v>0</v>
      </c>
      <c r="BF271" s="347">
        <f t="array" aca="1" ref="BF271" ca="1">SUM($K271:$V271*$BK271:$BV271)*$AZ271</f>
        <v>0</v>
      </c>
      <c r="BG271" s="347">
        <f t="array" aca="1" ref="BG271" ca="1">SUM($K271:$V271*$BY271:$CJ271*$BK271:$BV271)*$AZ271*$BX271</f>
        <v>0</v>
      </c>
      <c r="BH271" s="347">
        <f t="array" aca="1" ref="BH271" ca="1">SUM($K271:$V271*$BY271:$CJ271*$BK271:$BV271)*(1-$BE271)*$AZ271*$BX271</f>
        <v>0</v>
      </c>
      <c r="BI271" s="350">
        <f t="shared" ca="1" si="1476"/>
        <v>0</v>
      </c>
      <c r="BJ271" s="275" t="str">
        <f t="shared" ca="1" si="1477"/>
        <v>Да</v>
      </c>
      <c r="BK271" s="116">
        <f t="shared" ca="1" si="1557"/>
        <v>0.8</v>
      </c>
      <c r="BL271" s="117">
        <f t="shared" ca="1" si="1557"/>
        <v>0.9</v>
      </c>
      <c r="BM271" s="117">
        <f t="shared" ca="1" si="1557"/>
        <v>1</v>
      </c>
      <c r="BN271" s="117">
        <f t="shared" ca="1" si="1557"/>
        <v>1</v>
      </c>
      <c r="BO271" s="117">
        <f t="shared" ca="1" si="1557"/>
        <v>1</v>
      </c>
      <c r="BP271" s="117">
        <f t="shared" ca="1" si="1557"/>
        <v>1</v>
      </c>
      <c r="BQ271" s="117">
        <f t="shared" ca="1" si="1557"/>
        <v>0.9</v>
      </c>
      <c r="BR271" s="117">
        <f t="shared" ca="1" si="1557"/>
        <v>0.9</v>
      </c>
      <c r="BS271" s="117">
        <f t="shared" ca="1" si="1557"/>
        <v>1.3</v>
      </c>
      <c r="BT271" s="117">
        <f t="shared" ca="1" si="1557"/>
        <v>1.3</v>
      </c>
      <c r="BU271" s="117">
        <f t="shared" ca="1" si="1557"/>
        <v>1.3</v>
      </c>
      <c r="BV271" s="278">
        <f t="shared" ca="1" si="1557"/>
        <v>1.3</v>
      </c>
      <c r="BW271" s="280">
        <f t="shared" si="1421"/>
        <v>15</v>
      </c>
      <c r="BX271" s="118">
        <f>IF($AN271="Ya",100%,100%+extraDelayZ)</f>
        <v>1</v>
      </c>
      <c r="BY271" s="263">
        <f t="shared" si="1479"/>
        <v>1</v>
      </c>
      <c r="BZ271" s="264">
        <f t="shared" si="1480"/>
        <v>1</v>
      </c>
      <c r="CA271" s="264">
        <f t="shared" si="1481"/>
        <v>1</v>
      </c>
      <c r="CB271" s="264">
        <f t="shared" si="1482"/>
        <v>1</v>
      </c>
      <c r="CC271" s="264">
        <f t="shared" si="1483"/>
        <v>1</v>
      </c>
      <c r="CD271" s="264">
        <f t="shared" si="1484"/>
        <v>1</v>
      </c>
      <c r="CE271" s="264">
        <f t="shared" si="1485"/>
        <v>1</v>
      </c>
      <c r="CF271" s="264">
        <f t="shared" si="1486"/>
        <v>1</v>
      </c>
      <c r="CG271" s="264">
        <f t="shared" si="1487"/>
        <v>1</v>
      </c>
      <c r="CH271" s="264">
        <f t="shared" si="1488"/>
        <v>1</v>
      </c>
      <c r="CI271" s="264">
        <f t="shared" si="1489"/>
        <v>1</v>
      </c>
      <c r="CJ271" s="265">
        <f t="shared" si="1490"/>
        <v>1</v>
      </c>
      <c r="CK271" s="269">
        <f t="array" ref="CK271">IF(ISERROR(SUM($K271:$V271*$BY271:$CJ271)/SUM($K271:$V271)),1,SUM($K271:$V271*$BY271:$CJ271)/SUM($K271:$V271))-1</f>
        <v>0</v>
      </c>
      <c r="CL271" s="234"/>
    </row>
    <row r="272" spans="1:90" ht="15" collapsed="1" x14ac:dyDescent="0.2">
      <c r="A272" s="391"/>
      <c r="B272" s="392" t="str">
        <f>CONCATENATE($AO272,IF($AX272&gt;0,CONCATENATE("  (план ",TEXT(INDEX(indBudX,MATCH($AN272,indPrefixX,0)),"# ##0")," руб.)"),""))</f>
        <v>101.ru</v>
      </c>
      <c r="C272" s="650" t="s">
        <v>363</v>
      </c>
      <c r="D272" s="429"/>
      <c r="E272" s="430"/>
      <c r="F272" s="430"/>
      <c r="G272" s="431"/>
      <c r="H272" s="431"/>
      <c r="I272" s="431">
        <f t="shared" ca="1" si="1465"/>
        <v>0</v>
      </c>
      <c r="J272" s="432">
        <f ca="1">$BH272</f>
        <v>0</v>
      </c>
      <c r="K272" s="433"/>
      <c r="L272" s="434"/>
      <c r="M272" s="434"/>
      <c r="N272" s="434"/>
      <c r="O272" s="434"/>
      <c r="P272" s="434"/>
      <c r="Q272" s="434"/>
      <c r="R272" s="434"/>
      <c r="S272" s="434"/>
      <c r="T272" s="434"/>
      <c r="U272" s="434"/>
      <c r="V272" s="435"/>
      <c r="W272" s="431">
        <f t="shared" ca="1" si="1394"/>
        <v>0</v>
      </c>
      <c r="X272" s="576"/>
      <c r="Y272" s="436">
        <f ca="1">$BE272</f>
        <v>0</v>
      </c>
      <c r="Z272" s="437"/>
      <c r="AA272" s="438"/>
      <c r="AB272" s="438"/>
      <c r="AC272" s="438"/>
      <c r="AD272" s="438"/>
      <c r="AE272" s="438"/>
      <c r="AF272" s="438"/>
      <c r="AG272" s="438"/>
      <c r="AH272" s="438"/>
      <c r="AI272" s="438"/>
      <c r="AJ272" s="438"/>
      <c r="AK272" s="438"/>
      <c r="AL272" s="438"/>
      <c r="AM272" s="439"/>
      <c r="AN272" s="130" t="s">
        <v>708</v>
      </c>
      <c r="AO272" s="130" t="str">
        <f t="shared" si="1419"/>
        <v>101.ru</v>
      </c>
      <c r="AP272" s="119">
        <f t="shared" si="1544"/>
        <v>7</v>
      </c>
      <c r="AQ272" s="120"/>
      <c r="AR272" s="120"/>
      <c r="AS272" s="121"/>
      <c r="AT272" s="228"/>
      <c r="AU272" s="232"/>
      <c r="AV272" s="179"/>
      <c r="AW272" s="233"/>
      <c r="AX272" s="279">
        <f>IF(ISERROR(INDEX(indBudX,MATCH($AN272,indPrefixX,0))),0,INDEX(indBudX,MATCH($AN272,indPrefixX,0)))</f>
        <v>0</v>
      </c>
      <c r="AY272" s="279">
        <f>IF(ISNUMBER($X272),$X272,0)</f>
        <v>0</v>
      </c>
      <c r="AZ272" s="123"/>
      <c r="BA272" s="125"/>
      <c r="BB272" s="123"/>
      <c r="BC272" s="124"/>
      <c r="BD272" s="464"/>
      <c r="BE272" s="282">
        <f t="shared" ca="1" si="1420"/>
        <v>0</v>
      </c>
      <c r="BF272" s="123">
        <f t="shared" ref="BF272:BI272" ca="1" si="1558">SUM(OFFSET(BF272,1,0,$AP272-1,1))</f>
        <v>0</v>
      </c>
      <c r="BG272" s="123">
        <f t="shared" ca="1" si="1558"/>
        <v>0</v>
      </c>
      <c r="BH272" s="123">
        <f t="shared" ca="1" si="1558"/>
        <v>0</v>
      </c>
      <c r="BI272" s="273">
        <f t="shared" ca="1" si="1558"/>
        <v>0</v>
      </c>
      <c r="BJ272" s="274"/>
      <c r="BK272" s="126"/>
      <c r="BL272" s="127"/>
      <c r="BM272" s="127"/>
      <c r="BN272" s="127"/>
      <c r="BO272" s="127"/>
      <c r="BP272" s="127"/>
      <c r="BQ272" s="127"/>
      <c r="BR272" s="127"/>
      <c r="BS272" s="127"/>
      <c r="BT272" s="127"/>
      <c r="BU272" s="127"/>
      <c r="BV272" s="277"/>
      <c r="BW272" s="279">
        <f t="shared" si="1421"/>
        <v>1</v>
      </c>
      <c r="BX272" s="128"/>
      <c r="BY272" s="260"/>
      <c r="BZ272" s="261"/>
      <c r="CA272" s="261"/>
      <c r="CB272" s="261"/>
      <c r="CC272" s="261"/>
      <c r="CD272" s="261"/>
      <c r="CE272" s="261"/>
      <c r="CF272" s="261"/>
      <c r="CG272" s="261"/>
      <c r="CH272" s="261"/>
      <c r="CI272" s="261"/>
      <c r="CJ272" s="262"/>
      <c r="CK272" s="270"/>
      <c r="CL272" s="234"/>
    </row>
    <row r="273" spans="1:90" ht="12.75" hidden="1" outlineLevel="1" x14ac:dyDescent="0.2">
      <c r="B273" s="404" t="str">
        <f t="shared" ca="1" si="1458"/>
        <v>Все страницы, 240x400, динамика</v>
      </c>
      <c r="C273" s="649" t="str">
        <f t="shared" ca="1" si="1459"/>
        <v>х1000</v>
      </c>
      <c r="D273" s="405">
        <f t="shared" ca="1" si="1460"/>
        <v>300</v>
      </c>
      <c r="E273" s="405">
        <f t="shared" ca="1" si="1461"/>
        <v>300</v>
      </c>
      <c r="F273" s="405">
        <f t="shared" ca="1" si="1462"/>
        <v>300</v>
      </c>
      <c r="G273" s="406">
        <f t="shared" ca="1" si="1463"/>
        <v>300</v>
      </c>
      <c r="H273" s="406">
        <f t="shared" ca="1" si="1464"/>
        <v>300</v>
      </c>
      <c r="I273" s="406">
        <f t="shared" ca="1" si="1465"/>
        <v>0</v>
      </c>
      <c r="J273" s="407">
        <f t="shared" ca="1" si="1466"/>
        <v>0</v>
      </c>
      <c r="K273" s="408"/>
      <c r="L273" s="409"/>
      <c r="M273" s="409"/>
      <c r="N273" s="409"/>
      <c r="O273" s="409"/>
      <c r="P273" s="409"/>
      <c r="Q273" s="409"/>
      <c r="R273" s="409"/>
      <c r="S273" s="409"/>
      <c r="T273" s="409"/>
      <c r="U273" s="409"/>
      <c r="V273" s="410"/>
      <c r="W273" s="406">
        <f t="shared" ca="1" si="1394"/>
        <v>0</v>
      </c>
      <c r="X273" s="406"/>
      <c r="Y273" s="411"/>
      <c r="Z273" s="412">
        <f t="shared" ref="Z273:Z278" si="1559">CK273</f>
        <v>0</v>
      </c>
      <c r="AA273" s="413"/>
      <c r="AB273" s="413"/>
      <c r="AC273" s="413"/>
      <c r="AD273" s="413"/>
      <c r="AE273" s="413"/>
      <c r="AF273" s="413"/>
      <c r="AG273" s="413"/>
      <c r="AH273" s="413"/>
      <c r="AI273" s="413"/>
      <c r="AJ273" s="413"/>
      <c r="AK273" s="413"/>
      <c r="AL273" s="413"/>
      <c r="AM273" s="572"/>
      <c r="AN273" s="351" t="s">
        <v>708</v>
      </c>
      <c r="AO273" s="351" t="str">
        <f t="shared" si="1419"/>
        <v>101.ru</v>
      </c>
      <c r="AP273" s="115">
        <f t="shared" si="1544"/>
        <v>7</v>
      </c>
      <c r="AQ273" s="31">
        <f t="shared" ca="1" si="1468"/>
        <v>0.25</v>
      </c>
      <c r="AR273" s="31">
        <f t="shared" ca="1" si="1468"/>
        <v>0</v>
      </c>
      <c r="AS273" s="35">
        <v>0</v>
      </c>
      <c r="AT273" s="229">
        <v>0</v>
      </c>
      <c r="AU273" s="344">
        <f t="shared" ca="1" si="1469"/>
        <v>300</v>
      </c>
      <c r="AV273" s="345">
        <f t="shared" ca="1" si="1470"/>
        <v>300</v>
      </c>
      <c r="AW273" s="346">
        <f t="shared" ca="1" si="1471"/>
        <v>300</v>
      </c>
      <c r="AX273" s="280"/>
      <c r="AY273" s="280"/>
      <c r="AZ273" s="347">
        <f t="shared" ca="1" si="1472"/>
        <v>300</v>
      </c>
      <c r="BA273" s="348">
        <f t="shared" ca="1" si="1473"/>
        <v>300</v>
      </c>
      <c r="BB273" s="347">
        <f t="shared" ca="1" si="1474"/>
        <v>1</v>
      </c>
      <c r="BC273" s="37" t="str">
        <f t="shared" ca="1" si="1474"/>
        <v>1000 контактов</v>
      </c>
      <c r="BD273" s="229" t="str">
        <f t="shared" ca="1" si="1475"/>
        <v>х1000</v>
      </c>
      <c r="BE273" s="283">
        <f t="shared" ca="1" si="1420"/>
        <v>0</v>
      </c>
      <c r="BF273" s="347">
        <f t="array" aca="1" ref="BF273" ca="1">SUM($K273:$V273*$BK273:$BV273)*$AZ273</f>
        <v>0</v>
      </c>
      <c r="BG273" s="347">
        <f t="array" aca="1" ref="BG273" ca="1">SUM($K273:$V273*$BY273:$CJ273*$BK273:$BV273)*$AZ273*$BX273</f>
        <v>0</v>
      </c>
      <c r="BH273" s="347">
        <f t="array" aca="1" ref="BH273" ca="1">SUM($K273:$V273*$BY273:$CJ273*$BK273:$BV273)*(1-$BE273)*$AZ273*$BX273</f>
        <v>0</v>
      </c>
      <c r="BI273" s="350">
        <f t="shared" ca="1" si="1476"/>
        <v>0</v>
      </c>
      <c r="BJ273" s="275" t="str">
        <f t="shared" ca="1" si="1477"/>
        <v>Да</v>
      </c>
      <c r="BK273" s="116">
        <f t="shared" ref="BK273:BV278" ca="1" si="1560">IF($BJ273="Особ.",INDEX(INDIRECT(LOWER($AN273)&amp;"Season2"),BK$9),IF($BJ273="Да",INDEX(INDIRECT(LOWER($AN273)&amp;"Season"),BK$9),100%))</f>
        <v>0.8</v>
      </c>
      <c r="BL273" s="117">
        <f t="shared" ca="1" si="1560"/>
        <v>0.9</v>
      </c>
      <c r="BM273" s="117">
        <f t="shared" ca="1" si="1560"/>
        <v>1</v>
      </c>
      <c r="BN273" s="117">
        <f t="shared" ca="1" si="1560"/>
        <v>1</v>
      </c>
      <c r="BO273" s="117">
        <f t="shared" ca="1" si="1560"/>
        <v>1</v>
      </c>
      <c r="BP273" s="117">
        <f t="shared" ca="1" si="1560"/>
        <v>1</v>
      </c>
      <c r="BQ273" s="117">
        <f t="shared" ca="1" si="1560"/>
        <v>0.9</v>
      </c>
      <c r="BR273" s="117">
        <f t="shared" ca="1" si="1560"/>
        <v>0.9</v>
      </c>
      <c r="BS273" s="117">
        <f t="shared" ca="1" si="1560"/>
        <v>1.3</v>
      </c>
      <c r="BT273" s="117">
        <f t="shared" ca="1" si="1560"/>
        <v>1.3</v>
      </c>
      <c r="BU273" s="117">
        <f t="shared" ca="1" si="1560"/>
        <v>1.3</v>
      </c>
      <c r="BV273" s="278">
        <f t="shared" ca="1" si="1560"/>
        <v>1.3</v>
      </c>
      <c r="BW273" s="280">
        <f t="shared" si="1421"/>
        <v>2</v>
      </c>
      <c r="BX273" s="118">
        <f>IF($AN273="Ya",100%,100%+extraDelayZ)</f>
        <v>1</v>
      </c>
      <c r="BY273" s="263">
        <f t="shared" ref="BY273:BY278" si="1561">(1+AA273)</f>
        <v>1</v>
      </c>
      <c r="BZ273" s="264">
        <f t="shared" ref="BZ273:BZ278" si="1562">(1+AB273)</f>
        <v>1</v>
      </c>
      <c r="CA273" s="264">
        <f t="shared" ref="CA273:CA278" si="1563">(1+AC273)</f>
        <v>1</v>
      </c>
      <c r="CB273" s="264">
        <f t="shared" ref="CB273:CB278" si="1564">(1+AD273)</f>
        <v>1</v>
      </c>
      <c r="CC273" s="264">
        <f t="shared" ref="CC273:CC278" si="1565">(1+AE273)</f>
        <v>1</v>
      </c>
      <c r="CD273" s="264">
        <f t="shared" ref="CD273:CD278" si="1566">(1+AF273)</f>
        <v>1</v>
      </c>
      <c r="CE273" s="264">
        <f t="shared" ref="CE273:CE278" si="1567">(1+AG273)</f>
        <v>1</v>
      </c>
      <c r="CF273" s="264">
        <f t="shared" ref="CF273:CF278" si="1568">(1+AH273)</f>
        <v>1</v>
      </c>
      <c r="CG273" s="264">
        <f t="shared" ref="CG273:CG278" si="1569">(1+AI273)</f>
        <v>1</v>
      </c>
      <c r="CH273" s="264">
        <f t="shared" ref="CH273:CH278" si="1570">(1+AJ273)</f>
        <v>1</v>
      </c>
      <c r="CI273" s="264">
        <f t="shared" ref="CI273:CI278" si="1571">(1+AK273)</f>
        <v>1</v>
      </c>
      <c r="CJ273" s="265">
        <f t="shared" ref="CJ273:CJ278" si="1572">(1+AL273)</f>
        <v>1</v>
      </c>
      <c r="CK273" s="269">
        <f t="array" ref="CK273">IF(ISERROR(SUM($K273:$V273*$BY273:$CJ273)/SUM($K273:$V273)),1,SUM($K273:$V273*$BY273:$CJ273)/SUM($K273:$V273))-1</f>
        <v>0</v>
      </c>
      <c r="CL273" s="234"/>
    </row>
    <row r="274" spans="1:90" ht="12.75" hidden="1" outlineLevel="1" x14ac:dyDescent="0.2">
      <c r="B274" s="404" t="str">
        <f t="shared" ca="1" si="1458"/>
        <v>Пакет "Охват 1000К", 240х400</v>
      </c>
      <c r="C274" s="649" t="str">
        <f t="shared" ca="1" si="1459"/>
        <v>Пакет</v>
      </c>
      <c r="D274" s="405">
        <f t="shared" ca="1" si="1460"/>
        <v>260</v>
      </c>
      <c r="E274" s="405">
        <f t="shared" ca="1" si="1461"/>
        <v>260</v>
      </c>
      <c r="F274" s="405">
        <f t="shared" ca="1" si="1462"/>
        <v>260</v>
      </c>
      <c r="G274" s="406">
        <f t="shared" ca="1" si="1463"/>
        <v>260000</v>
      </c>
      <c r="H274" s="406">
        <f t="shared" ca="1" si="1464"/>
        <v>260000</v>
      </c>
      <c r="I274" s="406">
        <f t="shared" ca="1" si="1465"/>
        <v>0</v>
      </c>
      <c r="J274" s="407">
        <f t="shared" ca="1" si="1466"/>
        <v>0</v>
      </c>
      <c r="K274" s="408"/>
      <c r="L274" s="409"/>
      <c r="M274" s="409"/>
      <c r="N274" s="409"/>
      <c r="O274" s="409"/>
      <c r="P274" s="409"/>
      <c r="Q274" s="409"/>
      <c r="R274" s="409"/>
      <c r="S274" s="409"/>
      <c r="T274" s="409"/>
      <c r="U274" s="409"/>
      <c r="V274" s="410"/>
      <c r="W274" s="406">
        <f t="shared" ca="1" si="1394"/>
        <v>0</v>
      </c>
      <c r="X274" s="406"/>
      <c r="Y274" s="411"/>
      <c r="Z274" s="412">
        <f t="shared" si="1559"/>
        <v>0</v>
      </c>
      <c r="AA274" s="413"/>
      <c r="AB274" s="413"/>
      <c r="AC274" s="413"/>
      <c r="AD274" s="413"/>
      <c r="AE274" s="413"/>
      <c r="AF274" s="413"/>
      <c r="AG274" s="413"/>
      <c r="AH274" s="413"/>
      <c r="AI274" s="413"/>
      <c r="AJ274" s="413"/>
      <c r="AK274" s="413"/>
      <c r="AL274" s="413"/>
      <c r="AM274" s="572"/>
      <c r="AN274" s="351" t="s">
        <v>708</v>
      </c>
      <c r="AO274" s="351" t="str">
        <f t="shared" si="1419"/>
        <v>101.ru</v>
      </c>
      <c r="AP274" s="115">
        <f t="shared" si="1544"/>
        <v>7</v>
      </c>
      <c r="AQ274" s="31" t="str">
        <f t="shared" ca="1" si="1468"/>
        <v>-</v>
      </c>
      <c r="AR274" s="31" t="str">
        <f t="shared" ca="1" si="1468"/>
        <v>-</v>
      </c>
      <c r="AS274" s="34">
        <v>0</v>
      </c>
      <c r="AT274" s="229">
        <v>0</v>
      </c>
      <c r="AU274" s="344">
        <f t="shared" ca="1" si="1469"/>
        <v>260</v>
      </c>
      <c r="AV274" s="345">
        <f t="shared" ca="1" si="1470"/>
        <v>260</v>
      </c>
      <c r="AW274" s="346">
        <f t="shared" ca="1" si="1471"/>
        <v>260</v>
      </c>
      <c r="AX274" s="280"/>
      <c r="AY274" s="280"/>
      <c r="AZ274" s="347">
        <f t="shared" ca="1" si="1472"/>
        <v>260000</v>
      </c>
      <c r="BA274" s="348">
        <f t="shared" ca="1" si="1473"/>
        <v>260000</v>
      </c>
      <c r="BB274" s="347">
        <f t="shared" ca="1" si="1474"/>
        <v>1000</v>
      </c>
      <c r="BC274" s="37" t="str">
        <f t="shared" ca="1" si="1474"/>
        <v>Пакет</v>
      </c>
      <c r="BD274" s="229" t="str">
        <f t="shared" ca="1" si="1475"/>
        <v>Пакет</v>
      </c>
      <c r="BE274" s="283">
        <f t="shared" ca="1" si="1420"/>
        <v>0</v>
      </c>
      <c r="BF274" s="347">
        <f t="array" aca="1" ref="BF274" ca="1">SUM($K274:$V274*$BK274:$BV274)*$AZ274</f>
        <v>0</v>
      </c>
      <c r="BG274" s="347">
        <f t="array" aca="1" ref="BG274" ca="1">SUM($K274:$V274*$BY274:$CJ274*$BK274:$BV274)*$AZ274*$BX274</f>
        <v>0</v>
      </c>
      <c r="BH274" s="347">
        <f t="array" aca="1" ref="BH274" ca="1">SUM($K274:$V274*$BY274:$CJ274*$BK274:$BV274)*(1-$BE274)*$AZ274*$BX274</f>
        <v>0</v>
      </c>
      <c r="BI274" s="350">
        <f t="shared" ca="1" si="1476"/>
        <v>0</v>
      </c>
      <c r="BJ274" s="275" t="str">
        <f t="shared" ca="1" si="1477"/>
        <v>Да</v>
      </c>
      <c r="BK274" s="116">
        <f t="shared" ca="1" si="1560"/>
        <v>0.8</v>
      </c>
      <c r="BL274" s="117">
        <f t="shared" ca="1" si="1560"/>
        <v>0.9</v>
      </c>
      <c r="BM274" s="117">
        <f t="shared" ca="1" si="1560"/>
        <v>1</v>
      </c>
      <c r="BN274" s="117">
        <f t="shared" ca="1" si="1560"/>
        <v>1</v>
      </c>
      <c r="BO274" s="117">
        <f t="shared" ca="1" si="1560"/>
        <v>1</v>
      </c>
      <c r="BP274" s="117">
        <f t="shared" ca="1" si="1560"/>
        <v>1</v>
      </c>
      <c r="BQ274" s="117">
        <f t="shared" ca="1" si="1560"/>
        <v>0.9</v>
      </c>
      <c r="BR274" s="117">
        <f t="shared" ca="1" si="1560"/>
        <v>0.9</v>
      </c>
      <c r="BS274" s="117">
        <f t="shared" ca="1" si="1560"/>
        <v>1.3</v>
      </c>
      <c r="BT274" s="117">
        <f t="shared" ca="1" si="1560"/>
        <v>1.3</v>
      </c>
      <c r="BU274" s="117">
        <f t="shared" ca="1" si="1560"/>
        <v>1.3</v>
      </c>
      <c r="BV274" s="278">
        <f t="shared" ca="1" si="1560"/>
        <v>1.3</v>
      </c>
      <c r="BW274" s="280">
        <f t="shared" si="1421"/>
        <v>3</v>
      </c>
      <c r="BX274" s="118">
        <f>IF($AN274="Ya",100%,100%+extraDelayZ)</f>
        <v>1</v>
      </c>
      <c r="BY274" s="263">
        <f t="shared" si="1561"/>
        <v>1</v>
      </c>
      <c r="BZ274" s="264">
        <f t="shared" si="1562"/>
        <v>1</v>
      </c>
      <c r="CA274" s="264">
        <f t="shared" si="1563"/>
        <v>1</v>
      </c>
      <c r="CB274" s="264">
        <f t="shared" si="1564"/>
        <v>1</v>
      </c>
      <c r="CC274" s="264">
        <f t="shared" si="1565"/>
        <v>1</v>
      </c>
      <c r="CD274" s="264">
        <f t="shared" si="1566"/>
        <v>1</v>
      </c>
      <c r="CE274" s="264">
        <f t="shared" si="1567"/>
        <v>1</v>
      </c>
      <c r="CF274" s="264">
        <f t="shared" si="1568"/>
        <v>1</v>
      </c>
      <c r="CG274" s="264">
        <f t="shared" si="1569"/>
        <v>1</v>
      </c>
      <c r="CH274" s="264">
        <f t="shared" si="1570"/>
        <v>1</v>
      </c>
      <c r="CI274" s="264">
        <f t="shared" si="1571"/>
        <v>1</v>
      </c>
      <c r="CJ274" s="265">
        <f t="shared" si="1572"/>
        <v>1</v>
      </c>
      <c r="CK274" s="269">
        <f t="array" ref="CK274">IF(ISERROR(SUM($K274:$V274*$BY274:$CJ274)/SUM($K274:$V274)),1,SUM($K274:$V274*$BY274:$CJ274)/SUM($K274:$V274))-1</f>
        <v>0</v>
      </c>
      <c r="CL274" s="234"/>
    </row>
    <row r="275" spans="1:90" ht="12.75" hidden="1" outlineLevel="1" x14ac:dyDescent="0.2">
      <c r="B275" s="404" t="str">
        <f t="shared" ca="1" si="1458"/>
        <v>Пакет "Охват 2000К", 240х400</v>
      </c>
      <c r="C275" s="649" t="str">
        <f t="shared" ca="1" si="1459"/>
        <v>Пакет</v>
      </c>
      <c r="D275" s="405">
        <f t="shared" ca="1" si="1460"/>
        <v>230</v>
      </c>
      <c r="E275" s="405">
        <f t="shared" ca="1" si="1461"/>
        <v>230</v>
      </c>
      <c r="F275" s="405">
        <f t="shared" ca="1" si="1462"/>
        <v>230</v>
      </c>
      <c r="G275" s="406">
        <f t="shared" ca="1" si="1463"/>
        <v>460000</v>
      </c>
      <c r="H275" s="406">
        <f t="shared" ca="1" si="1464"/>
        <v>460000</v>
      </c>
      <c r="I275" s="406">
        <f t="shared" ca="1" si="1465"/>
        <v>0</v>
      </c>
      <c r="J275" s="407">
        <f t="shared" ca="1" si="1466"/>
        <v>0</v>
      </c>
      <c r="K275" s="408"/>
      <c r="L275" s="409"/>
      <c r="M275" s="409"/>
      <c r="N275" s="409"/>
      <c r="O275" s="409"/>
      <c r="P275" s="409"/>
      <c r="Q275" s="409"/>
      <c r="R275" s="409"/>
      <c r="S275" s="409"/>
      <c r="T275" s="409"/>
      <c r="U275" s="409"/>
      <c r="V275" s="410"/>
      <c r="W275" s="406">
        <f t="shared" ca="1" si="1394"/>
        <v>0</v>
      </c>
      <c r="X275" s="406"/>
      <c r="Y275" s="411"/>
      <c r="Z275" s="412">
        <f t="shared" si="1559"/>
        <v>0</v>
      </c>
      <c r="AA275" s="413"/>
      <c r="AB275" s="413"/>
      <c r="AC275" s="413"/>
      <c r="AD275" s="413"/>
      <c r="AE275" s="413"/>
      <c r="AF275" s="413"/>
      <c r="AG275" s="413"/>
      <c r="AH275" s="413"/>
      <c r="AI275" s="413"/>
      <c r="AJ275" s="413"/>
      <c r="AK275" s="413"/>
      <c r="AL275" s="413"/>
      <c r="AM275" s="572"/>
      <c r="AN275" s="351" t="s">
        <v>708</v>
      </c>
      <c r="AO275" s="351" t="str">
        <f t="shared" si="1419"/>
        <v>101.ru</v>
      </c>
      <c r="AP275" s="115">
        <f t="shared" si="1544"/>
        <v>7</v>
      </c>
      <c r="AQ275" s="31" t="str">
        <f t="shared" ca="1" si="1468"/>
        <v>-</v>
      </c>
      <c r="AR275" s="31" t="str">
        <f t="shared" ca="1" si="1468"/>
        <v>-</v>
      </c>
      <c r="AS275" s="34">
        <v>0</v>
      </c>
      <c r="AT275" s="229">
        <v>0</v>
      </c>
      <c r="AU275" s="344">
        <f t="shared" ca="1" si="1469"/>
        <v>230</v>
      </c>
      <c r="AV275" s="345">
        <f t="shared" ca="1" si="1470"/>
        <v>230</v>
      </c>
      <c r="AW275" s="346">
        <f t="shared" ca="1" si="1471"/>
        <v>230</v>
      </c>
      <c r="AX275" s="280"/>
      <c r="AY275" s="280"/>
      <c r="AZ275" s="347">
        <f t="shared" ca="1" si="1472"/>
        <v>460000</v>
      </c>
      <c r="BA275" s="348">
        <f t="shared" ca="1" si="1473"/>
        <v>460000</v>
      </c>
      <c r="BB275" s="347">
        <f t="shared" ca="1" si="1474"/>
        <v>2000</v>
      </c>
      <c r="BC275" s="37" t="str">
        <f t="shared" ca="1" si="1474"/>
        <v>Пакет</v>
      </c>
      <c r="BD275" s="229" t="str">
        <f t="shared" ca="1" si="1475"/>
        <v>Пакет</v>
      </c>
      <c r="BE275" s="283">
        <f t="shared" ca="1" si="1420"/>
        <v>0</v>
      </c>
      <c r="BF275" s="347">
        <f t="array" aca="1" ref="BF275" ca="1">SUM($K275:$V275*$BK275:$BV275)*$AZ275</f>
        <v>0</v>
      </c>
      <c r="BG275" s="347">
        <f t="array" aca="1" ref="BG275" ca="1">SUM($K275:$V275*$BY275:$CJ275*$BK275:$BV275)*$AZ275*$BX275</f>
        <v>0</v>
      </c>
      <c r="BH275" s="347">
        <f t="array" aca="1" ref="BH275" ca="1">SUM($K275:$V275*$BY275:$CJ275*$BK275:$BV275)*(1-$BE275)*$AZ275*$BX275</f>
        <v>0</v>
      </c>
      <c r="BI275" s="350">
        <f t="shared" ca="1" si="1476"/>
        <v>0</v>
      </c>
      <c r="BJ275" s="275" t="str">
        <f t="shared" ca="1" si="1477"/>
        <v>Да</v>
      </c>
      <c r="BK275" s="116">
        <f t="shared" ca="1" si="1560"/>
        <v>0.8</v>
      </c>
      <c r="BL275" s="117">
        <f t="shared" ca="1" si="1560"/>
        <v>0.9</v>
      </c>
      <c r="BM275" s="117">
        <f t="shared" ca="1" si="1560"/>
        <v>1</v>
      </c>
      <c r="BN275" s="117">
        <f t="shared" ca="1" si="1560"/>
        <v>1</v>
      </c>
      <c r="BO275" s="117">
        <f t="shared" ca="1" si="1560"/>
        <v>1</v>
      </c>
      <c r="BP275" s="117">
        <f t="shared" ca="1" si="1560"/>
        <v>1</v>
      </c>
      <c r="BQ275" s="117">
        <f t="shared" ca="1" si="1560"/>
        <v>0.9</v>
      </c>
      <c r="BR275" s="117">
        <f t="shared" ca="1" si="1560"/>
        <v>0.9</v>
      </c>
      <c r="BS275" s="117">
        <f t="shared" ca="1" si="1560"/>
        <v>1.3</v>
      </c>
      <c r="BT275" s="117">
        <f t="shared" ca="1" si="1560"/>
        <v>1.3</v>
      </c>
      <c r="BU275" s="117">
        <f t="shared" ca="1" si="1560"/>
        <v>1.3</v>
      </c>
      <c r="BV275" s="278">
        <f t="shared" ca="1" si="1560"/>
        <v>1.3</v>
      </c>
      <c r="BW275" s="280">
        <f t="shared" si="1421"/>
        <v>4</v>
      </c>
      <c r="BX275" s="118">
        <f>IF($AN275="Ya",100%,100%+extraDelayZ)</f>
        <v>1</v>
      </c>
      <c r="BY275" s="263">
        <f t="shared" si="1561"/>
        <v>1</v>
      </c>
      <c r="BZ275" s="264">
        <f t="shared" si="1562"/>
        <v>1</v>
      </c>
      <c r="CA275" s="264">
        <f t="shared" si="1563"/>
        <v>1</v>
      </c>
      <c r="CB275" s="264">
        <f t="shared" si="1564"/>
        <v>1</v>
      </c>
      <c r="CC275" s="264">
        <f t="shared" si="1565"/>
        <v>1</v>
      </c>
      <c r="CD275" s="264">
        <f t="shared" si="1566"/>
        <v>1</v>
      </c>
      <c r="CE275" s="264">
        <f t="shared" si="1567"/>
        <v>1</v>
      </c>
      <c r="CF275" s="264">
        <f t="shared" si="1568"/>
        <v>1</v>
      </c>
      <c r="CG275" s="264">
        <f t="shared" si="1569"/>
        <v>1</v>
      </c>
      <c r="CH275" s="264">
        <f t="shared" si="1570"/>
        <v>1</v>
      </c>
      <c r="CI275" s="264">
        <f t="shared" si="1571"/>
        <v>1</v>
      </c>
      <c r="CJ275" s="265">
        <f t="shared" si="1572"/>
        <v>1</v>
      </c>
      <c r="CK275" s="269">
        <f t="array" ref="CK275">IF(ISERROR(SUM($K275:$V275*$BY275:$CJ275)/SUM($K275:$V275)),1,SUM($K275:$V275*$BY275:$CJ275)/SUM($K275:$V275))-1</f>
        <v>0</v>
      </c>
      <c r="CL275" s="234"/>
    </row>
    <row r="276" spans="1:90" ht="12.75" hidden="1" outlineLevel="1" x14ac:dyDescent="0.2">
      <c r="B276" s="404" t="str">
        <f t="shared" ca="1" si="1458"/>
        <v>Все страницы, 600х90/100%х90 , динамика</v>
      </c>
      <c r="C276" s="649" t="str">
        <f t="shared" ca="1" si="1459"/>
        <v>х1000</v>
      </c>
      <c r="D276" s="405">
        <f t="shared" ca="1" si="1460"/>
        <v>200</v>
      </c>
      <c r="E276" s="405">
        <f t="shared" ca="1" si="1461"/>
        <v>200</v>
      </c>
      <c r="F276" s="405">
        <f t="shared" ca="1" si="1462"/>
        <v>200</v>
      </c>
      <c r="G276" s="406">
        <f t="shared" ca="1" si="1463"/>
        <v>200</v>
      </c>
      <c r="H276" s="406">
        <f t="shared" ca="1" si="1464"/>
        <v>200</v>
      </c>
      <c r="I276" s="406">
        <f t="shared" ca="1" si="1465"/>
        <v>0</v>
      </c>
      <c r="J276" s="407">
        <f t="shared" ca="1" si="1466"/>
        <v>0</v>
      </c>
      <c r="K276" s="408"/>
      <c r="L276" s="409"/>
      <c r="M276" s="409"/>
      <c r="N276" s="409"/>
      <c r="O276" s="409"/>
      <c r="P276" s="409"/>
      <c r="Q276" s="409"/>
      <c r="R276" s="409"/>
      <c r="S276" s="409"/>
      <c r="T276" s="409"/>
      <c r="U276" s="409"/>
      <c r="V276" s="410"/>
      <c r="W276" s="406">
        <f t="shared" ca="1" si="1394"/>
        <v>0</v>
      </c>
      <c r="X276" s="406"/>
      <c r="Y276" s="411"/>
      <c r="Z276" s="412">
        <f t="shared" si="1559"/>
        <v>0</v>
      </c>
      <c r="AA276" s="413"/>
      <c r="AB276" s="413"/>
      <c r="AC276" s="413"/>
      <c r="AD276" s="413"/>
      <c r="AE276" s="413"/>
      <c r="AF276" s="413"/>
      <c r="AG276" s="413"/>
      <c r="AH276" s="413"/>
      <c r="AI276" s="413"/>
      <c r="AJ276" s="413"/>
      <c r="AK276" s="413"/>
      <c r="AL276" s="413"/>
      <c r="AM276" s="572"/>
      <c r="AN276" s="351" t="s">
        <v>708</v>
      </c>
      <c r="AO276" s="351" t="str">
        <f t="shared" si="1419"/>
        <v>101.ru</v>
      </c>
      <c r="AP276" s="115">
        <f t="shared" si="1544"/>
        <v>7</v>
      </c>
      <c r="AQ276" s="31">
        <f t="shared" ca="1" si="1468"/>
        <v>0.25</v>
      </c>
      <c r="AR276" s="31">
        <f t="shared" ca="1" si="1468"/>
        <v>0</v>
      </c>
      <c r="AS276" s="34">
        <v>0</v>
      </c>
      <c r="AT276" s="229">
        <v>0</v>
      </c>
      <c r="AU276" s="344">
        <f t="shared" ca="1" si="1469"/>
        <v>200</v>
      </c>
      <c r="AV276" s="345">
        <f t="shared" ca="1" si="1470"/>
        <v>200</v>
      </c>
      <c r="AW276" s="346">
        <f t="shared" ca="1" si="1471"/>
        <v>200</v>
      </c>
      <c r="AX276" s="280"/>
      <c r="AY276" s="280"/>
      <c r="AZ276" s="347">
        <f t="shared" ca="1" si="1472"/>
        <v>200</v>
      </c>
      <c r="BA276" s="348">
        <f t="shared" ca="1" si="1473"/>
        <v>200</v>
      </c>
      <c r="BB276" s="347">
        <f t="shared" ca="1" si="1474"/>
        <v>1</v>
      </c>
      <c r="BC276" s="37" t="str">
        <f t="shared" ca="1" si="1474"/>
        <v>1000 контактов</v>
      </c>
      <c r="BD276" s="229" t="str">
        <f t="shared" ca="1" si="1475"/>
        <v>х1000</v>
      </c>
      <c r="BE276" s="283">
        <f t="shared" ca="1" si="1420"/>
        <v>0</v>
      </c>
      <c r="BF276" s="347">
        <f t="array" aca="1" ref="BF276" ca="1">SUM($K276:$V276*$BK276:$BV276)*$AZ276</f>
        <v>0</v>
      </c>
      <c r="BG276" s="347">
        <f t="array" aca="1" ref="BG276" ca="1">SUM($K276:$V276*$BY276:$CJ276*$BK276:$BV276)*$AZ276*$BX276</f>
        <v>0</v>
      </c>
      <c r="BH276" s="347">
        <f t="array" aca="1" ref="BH276" ca="1">SUM($K276:$V276*$BY276:$CJ276*$BK276:$BV276)*(1-$BE276)*$AZ276*$BX276</f>
        <v>0</v>
      </c>
      <c r="BI276" s="350">
        <f t="shared" ca="1" si="1476"/>
        <v>0</v>
      </c>
      <c r="BJ276" s="275" t="str">
        <f t="shared" ca="1" si="1477"/>
        <v>Да</v>
      </c>
      <c r="BK276" s="116">
        <f t="shared" ca="1" si="1560"/>
        <v>0.8</v>
      </c>
      <c r="BL276" s="117">
        <f t="shared" ca="1" si="1560"/>
        <v>0.9</v>
      </c>
      <c r="BM276" s="117">
        <f t="shared" ca="1" si="1560"/>
        <v>1</v>
      </c>
      <c r="BN276" s="117">
        <f t="shared" ca="1" si="1560"/>
        <v>1</v>
      </c>
      <c r="BO276" s="117">
        <f t="shared" ca="1" si="1560"/>
        <v>1</v>
      </c>
      <c r="BP276" s="117">
        <f t="shared" ca="1" si="1560"/>
        <v>1</v>
      </c>
      <c r="BQ276" s="117">
        <f t="shared" ca="1" si="1560"/>
        <v>0.9</v>
      </c>
      <c r="BR276" s="117">
        <f t="shared" ca="1" si="1560"/>
        <v>0.9</v>
      </c>
      <c r="BS276" s="117">
        <f t="shared" ca="1" si="1560"/>
        <v>1.3</v>
      </c>
      <c r="BT276" s="117">
        <f t="shared" ca="1" si="1560"/>
        <v>1.3</v>
      </c>
      <c r="BU276" s="117">
        <f t="shared" ca="1" si="1560"/>
        <v>1.3</v>
      </c>
      <c r="BV276" s="278">
        <f t="shared" ca="1" si="1560"/>
        <v>1.3</v>
      </c>
      <c r="BW276" s="280">
        <f t="shared" si="1421"/>
        <v>5</v>
      </c>
      <c r="BX276" s="118">
        <f>IF($AN276="Ya",100%,100%+extraDelayZ)</f>
        <v>1</v>
      </c>
      <c r="BY276" s="263">
        <f t="shared" si="1561"/>
        <v>1</v>
      </c>
      <c r="BZ276" s="264">
        <f t="shared" si="1562"/>
        <v>1</v>
      </c>
      <c r="CA276" s="264">
        <f t="shared" si="1563"/>
        <v>1</v>
      </c>
      <c r="CB276" s="264">
        <f t="shared" si="1564"/>
        <v>1</v>
      </c>
      <c r="CC276" s="264">
        <f t="shared" si="1565"/>
        <v>1</v>
      </c>
      <c r="CD276" s="264">
        <f t="shared" si="1566"/>
        <v>1</v>
      </c>
      <c r="CE276" s="264">
        <f t="shared" si="1567"/>
        <v>1</v>
      </c>
      <c r="CF276" s="264">
        <f t="shared" si="1568"/>
        <v>1</v>
      </c>
      <c r="CG276" s="264">
        <f t="shared" si="1569"/>
        <v>1</v>
      </c>
      <c r="CH276" s="264">
        <f t="shared" si="1570"/>
        <v>1</v>
      </c>
      <c r="CI276" s="264">
        <f t="shared" si="1571"/>
        <v>1</v>
      </c>
      <c r="CJ276" s="265">
        <f t="shared" si="1572"/>
        <v>1</v>
      </c>
      <c r="CK276" s="269">
        <f t="array" ref="CK276">IF(ISERROR(SUM($K276:$V276*$BY276:$CJ276)/SUM($K276:$V276)),1,SUM($K276:$V276*$BY276:$CJ276)/SUM($K276:$V276))-1</f>
        <v>0</v>
      </c>
      <c r="CL276" s="234"/>
    </row>
    <row r="277" spans="1:90" ht="12.75" hidden="1" outlineLevel="1" x14ac:dyDescent="0.2">
      <c r="B277" s="404" t="str">
        <f t="shared" ca="1" si="1458"/>
        <v>Пакет "Охват 2000К", 600х90/100%х90</v>
      </c>
      <c r="C277" s="649" t="str">
        <f t="shared" ca="1" si="1459"/>
        <v>Пакет</v>
      </c>
      <c r="D277" s="405">
        <f t="shared" ca="1" si="1460"/>
        <v>100</v>
      </c>
      <c r="E277" s="405">
        <f t="shared" ca="1" si="1461"/>
        <v>100</v>
      </c>
      <c r="F277" s="405">
        <f t="shared" ca="1" si="1462"/>
        <v>100</v>
      </c>
      <c r="G277" s="406">
        <f t="shared" ca="1" si="1463"/>
        <v>200000</v>
      </c>
      <c r="H277" s="406">
        <f t="shared" ca="1" si="1464"/>
        <v>200000</v>
      </c>
      <c r="I277" s="406">
        <f t="shared" ca="1" si="1465"/>
        <v>0</v>
      </c>
      <c r="J277" s="407">
        <f t="shared" ca="1" si="1466"/>
        <v>0</v>
      </c>
      <c r="K277" s="408"/>
      <c r="L277" s="409"/>
      <c r="M277" s="409"/>
      <c r="N277" s="409"/>
      <c r="O277" s="409"/>
      <c r="P277" s="409"/>
      <c r="Q277" s="409"/>
      <c r="R277" s="409"/>
      <c r="S277" s="409"/>
      <c r="T277" s="409"/>
      <c r="U277" s="409"/>
      <c r="V277" s="410"/>
      <c r="W277" s="406">
        <f t="shared" ca="1" si="1394"/>
        <v>0</v>
      </c>
      <c r="X277" s="406"/>
      <c r="Y277" s="411"/>
      <c r="Z277" s="412">
        <f t="shared" ref="Z277" si="1573">CK277</f>
        <v>0</v>
      </c>
      <c r="AA277" s="413"/>
      <c r="AB277" s="413"/>
      <c r="AC277" s="413"/>
      <c r="AD277" s="413"/>
      <c r="AE277" s="413"/>
      <c r="AF277" s="413"/>
      <c r="AG277" s="413"/>
      <c r="AH277" s="413"/>
      <c r="AI277" s="413"/>
      <c r="AJ277" s="413"/>
      <c r="AK277" s="413"/>
      <c r="AL277" s="413"/>
      <c r="AM277" s="572"/>
      <c r="AN277" s="351" t="s">
        <v>708</v>
      </c>
      <c r="AO277" s="351" t="str">
        <f t="shared" si="1419"/>
        <v>101.ru</v>
      </c>
      <c r="AP277" s="115">
        <f t="shared" si="1544"/>
        <v>7</v>
      </c>
      <c r="AQ277" s="31" t="str">
        <f t="shared" ca="1" si="1468"/>
        <v>-</v>
      </c>
      <c r="AR277" s="31" t="str">
        <f t="shared" ca="1" si="1468"/>
        <v>-</v>
      </c>
      <c r="AS277" s="34">
        <v>0</v>
      </c>
      <c r="AT277" s="229">
        <v>0</v>
      </c>
      <c r="AU277" s="344">
        <f t="shared" ca="1" si="1469"/>
        <v>100</v>
      </c>
      <c r="AV277" s="345">
        <f t="shared" ca="1" si="1470"/>
        <v>100</v>
      </c>
      <c r="AW277" s="346">
        <f t="shared" ca="1" si="1471"/>
        <v>100</v>
      </c>
      <c r="AX277" s="280"/>
      <c r="AY277" s="280"/>
      <c r="AZ277" s="347">
        <f t="shared" ca="1" si="1472"/>
        <v>200000</v>
      </c>
      <c r="BA277" s="348">
        <f t="shared" ca="1" si="1473"/>
        <v>200000</v>
      </c>
      <c r="BB277" s="347">
        <f t="shared" ca="1" si="1474"/>
        <v>2000</v>
      </c>
      <c r="BC277" s="37" t="str">
        <f t="shared" ca="1" si="1474"/>
        <v>Пакет</v>
      </c>
      <c r="BD277" s="229" t="str">
        <f t="shared" ca="1" si="1475"/>
        <v>Пакет</v>
      </c>
      <c r="BE277" s="283">
        <f t="shared" ca="1" si="1420"/>
        <v>0</v>
      </c>
      <c r="BF277" s="347">
        <f t="array" aca="1" ref="BF277" ca="1">SUM($K277:$V277*$BK277:$BV277)*$AZ277</f>
        <v>0</v>
      </c>
      <c r="BG277" s="347">
        <f t="array" aca="1" ref="BG277" ca="1">SUM($K277:$V277*$BY277:$CJ277*$BK277:$BV277)*$AZ277*$BX277</f>
        <v>0</v>
      </c>
      <c r="BH277" s="347">
        <f t="array" aca="1" ref="BH277" ca="1">SUM($K277:$V277*$BY277:$CJ277*$BK277:$BV277)*(1-$BE277)*$AZ277*$BX277</f>
        <v>0</v>
      </c>
      <c r="BI277" s="350">
        <f t="shared" ca="1" si="1476"/>
        <v>0</v>
      </c>
      <c r="BJ277" s="275" t="str">
        <f t="shared" ca="1" si="1477"/>
        <v>Да</v>
      </c>
      <c r="BK277" s="116">
        <f t="shared" ca="1" si="1560"/>
        <v>0.8</v>
      </c>
      <c r="BL277" s="117">
        <f t="shared" ca="1" si="1560"/>
        <v>0.9</v>
      </c>
      <c r="BM277" s="117">
        <f t="shared" ca="1" si="1560"/>
        <v>1</v>
      </c>
      <c r="BN277" s="117">
        <f t="shared" ca="1" si="1560"/>
        <v>1</v>
      </c>
      <c r="BO277" s="117">
        <f t="shared" ca="1" si="1560"/>
        <v>1</v>
      </c>
      <c r="BP277" s="117">
        <f t="shared" ca="1" si="1560"/>
        <v>1</v>
      </c>
      <c r="BQ277" s="117">
        <f t="shared" ca="1" si="1560"/>
        <v>0.9</v>
      </c>
      <c r="BR277" s="117">
        <f t="shared" ca="1" si="1560"/>
        <v>0.9</v>
      </c>
      <c r="BS277" s="117">
        <f t="shared" ca="1" si="1560"/>
        <v>1.3</v>
      </c>
      <c r="BT277" s="117">
        <f t="shared" ca="1" si="1560"/>
        <v>1.3</v>
      </c>
      <c r="BU277" s="117">
        <f t="shared" ca="1" si="1560"/>
        <v>1.3</v>
      </c>
      <c r="BV277" s="278">
        <f t="shared" ca="1" si="1560"/>
        <v>1.3</v>
      </c>
      <c r="BW277" s="280">
        <f t="shared" si="1421"/>
        <v>6</v>
      </c>
      <c r="BX277" s="118">
        <f>IF($AN277="Ya",100%,100%+extraDelayZ)</f>
        <v>1</v>
      </c>
      <c r="BY277" s="263">
        <f t="shared" ref="BY277" si="1574">(1+AA277)</f>
        <v>1</v>
      </c>
      <c r="BZ277" s="264">
        <f t="shared" ref="BZ277" si="1575">(1+AB277)</f>
        <v>1</v>
      </c>
      <c r="CA277" s="264">
        <f t="shared" ref="CA277" si="1576">(1+AC277)</f>
        <v>1</v>
      </c>
      <c r="CB277" s="264">
        <f t="shared" ref="CB277" si="1577">(1+AD277)</f>
        <v>1</v>
      </c>
      <c r="CC277" s="264">
        <f t="shared" ref="CC277" si="1578">(1+AE277)</f>
        <v>1</v>
      </c>
      <c r="CD277" s="264">
        <f t="shared" ref="CD277" si="1579">(1+AF277)</f>
        <v>1</v>
      </c>
      <c r="CE277" s="264">
        <f t="shared" ref="CE277" si="1580">(1+AG277)</f>
        <v>1</v>
      </c>
      <c r="CF277" s="264">
        <f t="shared" ref="CF277" si="1581">(1+AH277)</f>
        <v>1</v>
      </c>
      <c r="CG277" s="264">
        <f t="shared" ref="CG277" si="1582">(1+AI277)</f>
        <v>1</v>
      </c>
      <c r="CH277" s="264">
        <f t="shared" ref="CH277" si="1583">(1+AJ277)</f>
        <v>1</v>
      </c>
      <c r="CI277" s="264">
        <f t="shared" ref="CI277" si="1584">(1+AK277)</f>
        <v>1</v>
      </c>
      <c r="CJ277" s="265">
        <f t="shared" ref="CJ277" si="1585">(1+AL277)</f>
        <v>1</v>
      </c>
      <c r="CK277" s="269">
        <f t="array" ref="CK277">IF(ISERROR(SUM($K277:$V277*$BY277:$CJ277)/SUM($K277:$V277)),1,SUM($K277:$V277*$BY277:$CJ277)/SUM($K277:$V277))-1</f>
        <v>0</v>
      </c>
      <c r="CL277" s="234"/>
    </row>
    <row r="278" spans="1:90" ht="12.75" hidden="1" outlineLevel="1" x14ac:dyDescent="0.2">
      <c r="B278" s="414" t="str">
        <f t="shared" ca="1" si="1458"/>
        <v>FullScreen</v>
      </c>
      <c r="C278" s="649" t="str">
        <f t="shared" ca="1" si="1459"/>
        <v>х1000</v>
      </c>
      <c r="D278" s="415">
        <f t="shared" ca="1" si="1460"/>
        <v>1500</v>
      </c>
      <c r="E278" s="415">
        <f t="shared" ca="1" si="1461"/>
        <v>1500</v>
      </c>
      <c r="F278" s="415">
        <f t="shared" ca="1" si="1462"/>
        <v>1500</v>
      </c>
      <c r="G278" s="416">
        <f t="shared" ca="1" si="1463"/>
        <v>1500</v>
      </c>
      <c r="H278" s="416">
        <f t="shared" ca="1" si="1464"/>
        <v>1500</v>
      </c>
      <c r="I278" s="406">
        <f t="shared" ca="1" si="1465"/>
        <v>0</v>
      </c>
      <c r="J278" s="407">
        <f t="shared" ca="1" si="1466"/>
        <v>0</v>
      </c>
      <c r="K278" s="417"/>
      <c r="L278" s="418"/>
      <c r="M278" s="418"/>
      <c r="N278" s="418"/>
      <c r="O278" s="418"/>
      <c r="P278" s="418"/>
      <c r="Q278" s="418"/>
      <c r="R278" s="418"/>
      <c r="S278" s="418"/>
      <c r="T278" s="418"/>
      <c r="U278" s="418"/>
      <c r="V278" s="419"/>
      <c r="W278" s="416">
        <f t="shared" ca="1" si="1394"/>
        <v>0</v>
      </c>
      <c r="X278" s="416"/>
      <c r="Y278" s="420"/>
      <c r="Z278" s="412">
        <f t="shared" si="1559"/>
        <v>0</v>
      </c>
      <c r="AA278" s="421"/>
      <c r="AB278" s="421"/>
      <c r="AC278" s="421"/>
      <c r="AD278" s="421"/>
      <c r="AE278" s="421"/>
      <c r="AF278" s="421"/>
      <c r="AG278" s="421"/>
      <c r="AH278" s="421"/>
      <c r="AI278" s="421"/>
      <c r="AJ278" s="421"/>
      <c r="AK278" s="421"/>
      <c r="AL278" s="421"/>
      <c r="AM278" s="573"/>
      <c r="AN278" s="351" t="s">
        <v>708</v>
      </c>
      <c r="AO278" s="351" t="str">
        <f t="shared" si="1419"/>
        <v>101.ru</v>
      </c>
      <c r="AP278" s="115">
        <f t="shared" si="1544"/>
        <v>7</v>
      </c>
      <c r="AQ278" s="31">
        <f t="shared" ca="1" si="1468"/>
        <v>0.25</v>
      </c>
      <c r="AR278" s="31">
        <f t="shared" ca="1" si="1468"/>
        <v>0</v>
      </c>
      <c r="AS278" s="34">
        <v>0</v>
      </c>
      <c r="AT278" s="229">
        <v>0</v>
      </c>
      <c r="AU278" s="344">
        <f t="shared" ca="1" si="1469"/>
        <v>1500</v>
      </c>
      <c r="AV278" s="345">
        <f t="shared" ca="1" si="1470"/>
        <v>1500</v>
      </c>
      <c r="AW278" s="346">
        <f t="shared" ca="1" si="1471"/>
        <v>1500</v>
      </c>
      <c r="AX278" s="280"/>
      <c r="AY278" s="280"/>
      <c r="AZ278" s="347">
        <f t="shared" ca="1" si="1472"/>
        <v>1500</v>
      </c>
      <c r="BA278" s="348">
        <f t="shared" ca="1" si="1473"/>
        <v>1500</v>
      </c>
      <c r="BB278" s="347">
        <f t="shared" ca="1" si="1474"/>
        <v>1</v>
      </c>
      <c r="BC278" s="37" t="str">
        <f t="shared" ca="1" si="1474"/>
        <v>1000 контактов</v>
      </c>
      <c r="BD278" s="229" t="str">
        <f t="shared" ca="1" si="1475"/>
        <v>х1000</v>
      </c>
      <c r="BE278" s="283">
        <f t="shared" ca="1" si="1420"/>
        <v>0</v>
      </c>
      <c r="BF278" s="347">
        <f t="array" aca="1" ref="BF278" ca="1">SUM($K278:$V278*$BK278:$BV278)*$AZ278</f>
        <v>0</v>
      </c>
      <c r="BG278" s="347">
        <f t="array" aca="1" ref="BG278" ca="1">SUM($K278:$V278*$BY278:$CJ278*$BK278:$BV278)*$AZ278*$BX278</f>
        <v>0</v>
      </c>
      <c r="BH278" s="347">
        <f t="array" aca="1" ref="BH278" ca="1">SUM($K278:$V278*$BY278:$CJ278*$BK278:$BV278)*(1-$BE278)*$AZ278*$BX278</f>
        <v>0</v>
      </c>
      <c r="BI278" s="350">
        <f t="shared" ca="1" si="1476"/>
        <v>0</v>
      </c>
      <c r="BJ278" s="275" t="str">
        <f t="shared" ca="1" si="1477"/>
        <v>Да</v>
      </c>
      <c r="BK278" s="116">
        <f t="shared" ca="1" si="1560"/>
        <v>0.8</v>
      </c>
      <c r="BL278" s="117">
        <f t="shared" ca="1" si="1560"/>
        <v>0.9</v>
      </c>
      <c r="BM278" s="117">
        <f t="shared" ca="1" si="1560"/>
        <v>1</v>
      </c>
      <c r="BN278" s="117">
        <f t="shared" ca="1" si="1560"/>
        <v>1</v>
      </c>
      <c r="BO278" s="117">
        <f t="shared" ca="1" si="1560"/>
        <v>1</v>
      </c>
      <c r="BP278" s="117">
        <f t="shared" ca="1" si="1560"/>
        <v>1</v>
      </c>
      <c r="BQ278" s="117">
        <f t="shared" ca="1" si="1560"/>
        <v>0.9</v>
      </c>
      <c r="BR278" s="117">
        <f t="shared" ca="1" si="1560"/>
        <v>0.9</v>
      </c>
      <c r="BS278" s="117">
        <f t="shared" ca="1" si="1560"/>
        <v>1.3</v>
      </c>
      <c r="BT278" s="117">
        <f t="shared" ca="1" si="1560"/>
        <v>1.3</v>
      </c>
      <c r="BU278" s="117">
        <f t="shared" ca="1" si="1560"/>
        <v>1.3</v>
      </c>
      <c r="BV278" s="278">
        <f t="shared" ca="1" si="1560"/>
        <v>1.3</v>
      </c>
      <c r="BW278" s="280">
        <f t="shared" si="1421"/>
        <v>7</v>
      </c>
      <c r="BX278" s="118">
        <f>IF($AN278="Ya",100%,100%+extraDelayZ)</f>
        <v>1</v>
      </c>
      <c r="BY278" s="263">
        <f t="shared" si="1561"/>
        <v>1</v>
      </c>
      <c r="BZ278" s="264">
        <f t="shared" si="1562"/>
        <v>1</v>
      </c>
      <c r="CA278" s="264">
        <f t="shared" si="1563"/>
        <v>1</v>
      </c>
      <c r="CB278" s="264">
        <f t="shared" si="1564"/>
        <v>1</v>
      </c>
      <c r="CC278" s="264">
        <f t="shared" si="1565"/>
        <v>1</v>
      </c>
      <c r="CD278" s="264">
        <f t="shared" si="1566"/>
        <v>1</v>
      </c>
      <c r="CE278" s="264">
        <f t="shared" si="1567"/>
        <v>1</v>
      </c>
      <c r="CF278" s="264">
        <f t="shared" si="1568"/>
        <v>1</v>
      </c>
      <c r="CG278" s="264">
        <f t="shared" si="1569"/>
        <v>1</v>
      </c>
      <c r="CH278" s="264">
        <f t="shared" si="1570"/>
        <v>1</v>
      </c>
      <c r="CI278" s="264">
        <f t="shared" si="1571"/>
        <v>1</v>
      </c>
      <c r="CJ278" s="265">
        <f t="shared" si="1572"/>
        <v>1</v>
      </c>
      <c r="CK278" s="269">
        <f t="array" ref="CK278">IF(ISERROR(SUM($K278:$V278*$BY278:$CJ278)/SUM($K278:$V278)),1,SUM($K278:$V278*$BY278:$CJ278)/SUM($K278:$V278))-1</f>
        <v>0</v>
      </c>
      <c r="CL278" s="234"/>
    </row>
    <row r="279" spans="1:90" ht="15" collapsed="1" x14ac:dyDescent="0.2">
      <c r="A279" s="391"/>
      <c r="B279" s="392" t="str">
        <f>CONCATENATE($AO279,IF($AX279&gt;0,CONCATENATE("  (план ",TEXT(INDEX(indBudX,MATCH($AN279,indPrefixX,0)),"# ##0")," руб.)"),""))</f>
        <v>GoodHouse.ru</v>
      </c>
      <c r="C279" s="650" t="s">
        <v>363</v>
      </c>
      <c r="D279" s="393"/>
      <c r="E279" s="394"/>
      <c r="F279" s="394"/>
      <c r="G279" s="395"/>
      <c r="H279" s="395"/>
      <c r="I279" s="395">
        <f t="shared" ca="1" si="1465"/>
        <v>0</v>
      </c>
      <c r="J279" s="396">
        <f ca="1">$BH279</f>
        <v>0</v>
      </c>
      <c r="K279" s="397"/>
      <c r="L279" s="398"/>
      <c r="M279" s="398"/>
      <c r="N279" s="398"/>
      <c r="O279" s="398"/>
      <c r="P279" s="398"/>
      <c r="Q279" s="398"/>
      <c r="R279" s="398"/>
      <c r="S279" s="398"/>
      <c r="T279" s="398"/>
      <c r="U279" s="398"/>
      <c r="V279" s="399"/>
      <c r="W279" s="395">
        <f t="shared" ca="1" si="1394"/>
        <v>0</v>
      </c>
      <c r="X279" s="576"/>
      <c r="Y279" s="400">
        <f ca="1">$BE279</f>
        <v>0</v>
      </c>
      <c r="Z279" s="401"/>
      <c r="AA279" s="402"/>
      <c r="AB279" s="402"/>
      <c r="AC279" s="402"/>
      <c r="AD279" s="402"/>
      <c r="AE279" s="402"/>
      <c r="AF279" s="402"/>
      <c r="AG279" s="402"/>
      <c r="AH279" s="402"/>
      <c r="AI279" s="402"/>
      <c r="AJ279" s="402"/>
      <c r="AK279" s="402"/>
      <c r="AL279" s="402"/>
      <c r="AM279" s="403"/>
      <c r="AN279" s="130" t="s">
        <v>71</v>
      </c>
      <c r="AO279" s="130" t="str">
        <f t="shared" si="1419"/>
        <v>GoodHouse.ru</v>
      </c>
      <c r="AP279" s="119">
        <f t="shared" si="1544"/>
        <v>5</v>
      </c>
      <c r="AQ279" s="120"/>
      <c r="AR279" s="120"/>
      <c r="AS279" s="121"/>
      <c r="AT279" s="228"/>
      <c r="AU279" s="232"/>
      <c r="AV279" s="179"/>
      <c r="AW279" s="233"/>
      <c r="AX279" s="279">
        <f>IF(ISERROR(INDEX(indBudX,MATCH($AN279,indPrefixX,0))),0,INDEX(indBudX,MATCH($AN279,indPrefixX,0)))</f>
        <v>0</v>
      </c>
      <c r="AY279" s="279">
        <f>IF(ISNUMBER($X279),$X279,0)</f>
        <v>0</v>
      </c>
      <c r="AZ279" s="123"/>
      <c r="BA279" s="125"/>
      <c r="BB279" s="123"/>
      <c r="BC279" s="124"/>
      <c r="BD279" s="464"/>
      <c r="BE279" s="282">
        <f t="shared" ca="1" si="1420"/>
        <v>0</v>
      </c>
      <c r="BF279" s="123">
        <f t="shared" ref="BF279:BI279" ca="1" si="1586">SUM(OFFSET(BF279,1,0,$AP279-1,1))</f>
        <v>0</v>
      </c>
      <c r="BG279" s="123">
        <f t="shared" ca="1" si="1586"/>
        <v>0</v>
      </c>
      <c r="BH279" s="123">
        <f t="shared" ca="1" si="1586"/>
        <v>0</v>
      </c>
      <c r="BI279" s="273">
        <f t="shared" ca="1" si="1586"/>
        <v>0</v>
      </c>
      <c r="BJ279" s="274"/>
      <c r="BK279" s="126"/>
      <c r="BL279" s="127"/>
      <c r="BM279" s="127"/>
      <c r="BN279" s="127"/>
      <c r="BO279" s="127"/>
      <c r="BP279" s="127"/>
      <c r="BQ279" s="127"/>
      <c r="BR279" s="127"/>
      <c r="BS279" s="127"/>
      <c r="BT279" s="127"/>
      <c r="BU279" s="127"/>
      <c r="BV279" s="277"/>
      <c r="BW279" s="279">
        <f t="shared" si="1421"/>
        <v>1</v>
      </c>
      <c r="BX279" s="128"/>
      <c r="BY279" s="260"/>
      <c r="BZ279" s="261"/>
      <c r="CA279" s="261"/>
      <c r="CB279" s="261"/>
      <c r="CC279" s="261"/>
      <c r="CD279" s="261"/>
      <c r="CE279" s="261"/>
      <c r="CF279" s="261"/>
      <c r="CG279" s="261"/>
      <c r="CH279" s="261"/>
      <c r="CI279" s="261"/>
      <c r="CJ279" s="262"/>
      <c r="CK279" s="270"/>
      <c r="CL279" s="234"/>
    </row>
    <row r="280" spans="1:90" ht="12.75" hidden="1" outlineLevel="1" x14ac:dyDescent="0.2">
      <c r="B280" s="404" t="str">
        <f t="shared" ref="B280:B283" ca="1" si="1587">INDEX(INDIRECT(LOWER($AN280)&amp;"Price"),$BW280,2)</f>
        <v>Пакет "Охват 150К", 240x400</v>
      </c>
      <c r="C280" s="676" t="str">
        <f t="shared" ref="C280:C283" ca="1" si="1588">$BD280</f>
        <v>Пакет</v>
      </c>
      <c r="D280" s="405">
        <f t="shared" ref="D280:D283" ca="1" si="1589">$AU280</f>
        <v>350</v>
      </c>
      <c r="E280" s="405">
        <f t="shared" ref="E280:E283" ca="1" si="1590">$AV280</f>
        <v>350</v>
      </c>
      <c r="F280" s="405">
        <f t="shared" ref="F280:F283" ca="1" si="1591">$AW280</f>
        <v>350</v>
      </c>
      <c r="G280" s="406">
        <f t="shared" ref="G280:G283" ca="1" si="1592">$AZ280</f>
        <v>52500</v>
      </c>
      <c r="H280" s="406">
        <f t="shared" ref="H280:H283" ca="1" si="1593">$BA280</f>
        <v>52500</v>
      </c>
      <c r="I280" s="406">
        <f t="shared" ref="I280:I283" ca="1" si="1594">$BG280</f>
        <v>0</v>
      </c>
      <c r="J280" s="407">
        <f t="shared" ref="J280:J283" ca="1" si="1595">$BH280</f>
        <v>0</v>
      </c>
      <c r="K280" s="617"/>
      <c r="L280" s="618"/>
      <c r="M280" s="618"/>
      <c r="N280" s="618"/>
      <c r="O280" s="618"/>
      <c r="P280" s="618"/>
      <c r="Q280" s="618"/>
      <c r="R280" s="618"/>
      <c r="S280" s="618"/>
      <c r="T280" s="618"/>
      <c r="U280" s="618"/>
      <c r="V280" s="619"/>
      <c r="W280" s="406">
        <f t="shared" ca="1" si="1394"/>
        <v>0</v>
      </c>
      <c r="X280" s="406"/>
      <c r="Y280" s="411"/>
      <c r="Z280" s="412">
        <f t="shared" ref="Z280:Z283" si="1596">CK280</f>
        <v>0</v>
      </c>
      <c r="AA280" s="620"/>
      <c r="AB280" s="620"/>
      <c r="AC280" s="620"/>
      <c r="AD280" s="620"/>
      <c r="AE280" s="620"/>
      <c r="AF280" s="620"/>
      <c r="AG280" s="620"/>
      <c r="AH280" s="620"/>
      <c r="AI280" s="620"/>
      <c r="AJ280" s="620"/>
      <c r="AK280" s="620"/>
      <c r="AL280" s="620"/>
      <c r="AM280" s="621"/>
      <c r="AN280" s="351" t="s">
        <v>71</v>
      </c>
      <c r="AO280" s="351" t="str">
        <f t="shared" si="1419"/>
        <v>GoodHouse.ru</v>
      </c>
      <c r="AP280" s="115">
        <f t="shared" si="1544"/>
        <v>5</v>
      </c>
      <c r="AQ280" s="31">
        <f t="shared" ref="AQ280:AR283" ca="1" si="1597">HLOOKUP(AQ$10,INDIRECT(LOWER($AN280)&amp;"Price"),$BW280,FALSE)</f>
        <v>0.25</v>
      </c>
      <c r="AR280" s="31">
        <f t="shared" ca="1" si="1597"/>
        <v>0.15</v>
      </c>
      <c r="AS280" s="35">
        <v>0</v>
      </c>
      <c r="AT280" s="229">
        <v>0</v>
      </c>
      <c r="AU280" s="344">
        <f t="shared" ref="AU280:AU283" ca="1" si="1598">HLOOKUP(AU$10,INDIRECT(LOWER($AN280)&amp;"Price"),$BW280,FALSE)</f>
        <v>350</v>
      </c>
      <c r="AV280" s="345">
        <f t="shared" ref="AV280:AV283" ca="1" si="1599">IF(ISERROR($BG280/$BI280),$AU280,$BG280/$BI280)</f>
        <v>350</v>
      </c>
      <c r="AW280" s="346">
        <f t="shared" ref="AW280:AW283" ca="1" si="1600">$AV280*(1-$BE280)</f>
        <v>350</v>
      </c>
      <c r="AX280" s="280"/>
      <c r="AY280" s="280"/>
      <c r="AZ280" s="347">
        <f t="shared" ref="AZ280:AZ283" ca="1" si="1601">HLOOKUP(AZ$10,INDIRECT(LOWER($AN280)&amp;"Price"),$BW280,FALSE)</f>
        <v>52500</v>
      </c>
      <c r="BA280" s="348">
        <f t="shared" ref="BA280:BA283" ca="1" si="1602">$AZ280*(1-$BE280)</f>
        <v>52500</v>
      </c>
      <c r="BB280" s="347">
        <f t="shared" ref="BB280:BC283" ca="1" si="1603">HLOOKUP(BB$10,INDIRECT(LOWER($AN280)&amp;"Price"),$BW280,FALSE)</f>
        <v>150</v>
      </c>
      <c r="BC280" s="37" t="str">
        <f t="shared" ca="1" si="1603"/>
        <v>Пакет</v>
      </c>
      <c r="BD280" s="229" t="str">
        <f t="shared" ref="BD280:BD283" ca="1" si="1604">IF(ISERROR(VLOOKUP($BC280,typeIndexPair,2,FALSE)),"",VLOOKUP($BC280,typeIndexPair,2,FALSE))</f>
        <v>Пакет</v>
      </c>
      <c r="BE280" s="283">
        <f t="shared" ca="1" si="1420"/>
        <v>0</v>
      </c>
      <c r="BF280" s="347">
        <f t="array" aca="1" ref="BF280" ca="1">SUM($K280:$V280*$BK280:$BV280)*$AZ280</f>
        <v>0</v>
      </c>
      <c r="BG280" s="347">
        <f t="array" aca="1" ref="BG280" ca="1">SUM($K280:$V280*$BY280:$CJ280*$BK280:$BV280)*$AZ280*$BX280</f>
        <v>0</v>
      </c>
      <c r="BH280" s="347">
        <f t="array" aca="1" ref="BH280" ca="1">SUM($K280:$V280*$BY280:$CJ280*$BK280:$BV280)*(1-$BE280)*$AZ280*$BX280</f>
        <v>0</v>
      </c>
      <c r="BI280" s="350">
        <f t="shared" ref="BI280:BI283" ca="1" si="1605">SUM($K280:$V280)*$BB280</f>
        <v>0</v>
      </c>
      <c r="BJ280" s="275" t="str">
        <f t="shared" ref="BJ280:BJ283" ca="1" si="1606">IF(ISERROR(HLOOKUP(BJ$10,INDIRECT(LOWER($AN280)&amp;"Price"),$BW280,FALSE)),"Да",HLOOKUP(BJ$10,INDIRECT(LOWER($AN280)&amp;"Price"),$BW280,FALSE))</f>
        <v>Да</v>
      </c>
      <c r="BK280" s="116">
        <f t="shared" ref="BK280:BV283" ca="1" si="1607">IF($BJ280="Особ.",INDEX(INDIRECT(LOWER($AN280)&amp;"Season2"),BK$9),IF($BJ280="Да",INDEX(INDIRECT(LOWER($AN280)&amp;"Season"),BK$9),100%))</f>
        <v>0.8</v>
      </c>
      <c r="BL280" s="117">
        <f t="shared" ca="1" si="1607"/>
        <v>0.9</v>
      </c>
      <c r="BM280" s="117">
        <f t="shared" ca="1" si="1607"/>
        <v>1</v>
      </c>
      <c r="BN280" s="117">
        <f t="shared" ca="1" si="1607"/>
        <v>1</v>
      </c>
      <c r="BO280" s="117">
        <f t="shared" ca="1" si="1607"/>
        <v>1</v>
      </c>
      <c r="BP280" s="117">
        <f t="shared" ca="1" si="1607"/>
        <v>1</v>
      </c>
      <c r="BQ280" s="117">
        <f t="shared" ca="1" si="1607"/>
        <v>0.9</v>
      </c>
      <c r="BR280" s="117">
        <f t="shared" ca="1" si="1607"/>
        <v>0.9</v>
      </c>
      <c r="BS280" s="117">
        <f t="shared" ca="1" si="1607"/>
        <v>1.3</v>
      </c>
      <c r="BT280" s="117">
        <f t="shared" ca="1" si="1607"/>
        <v>1.3</v>
      </c>
      <c r="BU280" s="117">
        <f t="shared" ca="1" si="1607"/>
        <v>1.3</v>
      </c>
      <c r="BV280" s="278">
        <f t="shared" ca="1" si="1607"/>
        <v>1.3</v>
      </c>
      <c r="BW280" s="280">
        <f t="shared" si="1421"/>
        <v>2</v>
      </c>
      <c r="BX280" s="118">
        <f>IF($AN280="Ya",100%,100%+extraDelayZ)</f>
        <v>1</v>
      </c>
      <c r="BY280" s="263">
        <f t="shared" ref="BY280:BY283" si="1608">(1+AA280)</f>
        <v>1</v>
      </c>
      <c r="BZ280" s="264">
        <f t="shared" ref="BZ280:BZ283" si="1609">(1+AB280)</f>
        <v>1</v>
      </c>
      <c r="CA280" s="264">
        <f t="shared" ref="CA280:CA283" si="1610">(1+AC280)</f>
        <v>1</v>
      </c>
      <c r="CB280" s="264">
        <f t="shared" ref="CB280:CB283" si="1611">(1+AD280)</f>
        <v>1</v>
      </c>
      <c r="CC280" s="264">
        <f t="shared" ref="CC280:CC283" si="1612">(1+AE280)</f>
        <v>1</v>
      </c>
      <c r="CD280" s="264">
        <f t="shared" ref="CD280:CD283" si="1613">(1+AF280)</f>
        <v>1</v>
      </c>
      <c r="CE280" s="264">
        <f t="shared" ref="CE280:CE283" si="1614">(1+AG280)</f>
        <v>1</v>
      </c>
      <c r="CF280" s="264">
        <f t="shared" ref="CF280:CF283" si="1615">(1+AH280)</f>
        <v>1</v>
      </c>
      <c r="CG280" s="264">
        <f t="shared" ref="CG280:CG283" si="1616">(1+AI280)</f>
        <v>1</v>
      </c>
      <c r="CH280" s="264">
        <f t="shared" ref="CH280:CH283" si="1617">(1+AJ280)</f>
        <v>1</v>
      </c>
      <c r="CI280" s="264">
        <f t="shared" ref="CI280:CI283" si="1618">(1+AK280)</f>
        <v>1</v>
      </c>
      <c r="CJ280" s="265">
        <f t="shared" ref="CJ280:CJ283" si="1619">(1+AL280)</f>
        <v>1</v>
      </c>
      <c r="CK280" s="269">
        <f t="array" ref="CK280">IF(ISERROR(SUM($K280:$V280*$BY280:$CJ280)/SUM($K280:$V280)),1,SUM($K280:$V280*$BY280:$CJ280)/SUM($K280:$V280))-1</f>
        <v>0</v>
      </c>
      <c r="CL280" s="234"/>
    </row>
    <row r="281" spans="1:90" ht="12.75" hidden="1" outlineLevel="1" x14ac:dyDescent="0.2">
      <c r="B281" s="404" t="str">
        <f t="shared" ca="1" si="1587"/>
        <v>Все страницы, 240х400</v>
      </c>
      <c r="C281" s="676" t="str">
        <f t="shared" ca="1" si="1588"/>
        <v>х1000</v>
      </c>
      <c r="D281" s="405">
        <f t="shared" ca="1" si="1589"/>
        <v>400</v>
      </c>
      <c r="E281" s="405">
        <f t="shared" ca="1" si="1590"/>
        <v>400</v>
      </c>
      <c r="F281" s="405">
        <f t="shared" ca="1" si="1591"/>
        <v>400</v>
      </c>
      <c r="G281" s="406">
        <f t="shared" ca="1" si="1592"/>
        <v>400</v>
      </c>
      <c r="H281" s="406">
        <f t="shared" ca="1" si="1593"/>
        <v>400</v>
      </c>
      <c r="I281" s="406">
        <f t="shared" ca="1" si="1594"/>
        <v>0</v>
      </c>
      <c r="J281" s="407">
        <f t="shared" ca="1" si="1595"/>
        <v>0</v>
      </c>
      <c r="K281" s="617"/>
      <c r="L281" s="618"/>
      <c r="M281" s="618"/>
      <c r="N281" s="618"/>
      <c r="O281" s="618"/>
      <c r="P281" s="618"/>
      <c r="Q281" s="618"/>
      <c r="R281" s="618"/>
      <c r="S281" s="618"/>
      <c r="T281" s="618"/>
      <c r="U281" s="618"/>
      <c r="V281" s="619"/>
      <c r="W281" s="406">
        <f t="shared" ca="1" si="1394"/>
        <v>0</v>
      </c>
      <c r="X281" s="406"/>
      <c r="Y281" s="411"/>
      <c r="Z281" s="412">
        <f t="shared" ref="Z281" si="1620">CK281</f>
        <v>0</v>
      </c>
      <c r="AA281" s="620"/>
      <c r="AB281" s="620"/>
      <c r="AC281" s="620"/>
      <c r="AD281" s="620"/>
      <c r="AE281" s="620"/>
      <c r="AF281" s="620"/>
      <c r="AG281" s="620"/>
      <c r="AH281" s="620"/>
      <c r="AI281" s="620"/>
      <c r="AJ281" s="620"/>
      <c r="AK281" s="620"/>
      <c r="AL281" s="620"/>
      <c r="AM281" s="621"/>
      <c r="AN281" s="351" t="s">
        <v>71</v>
      </c>
      <c r="AO281" s="351" t="str">
        <f t="shared" si="1419"/>
        <v>GoodHouse.ru</v>
      </c>
      <c r="AP281" s="115">
        <f t="shared" si="1544"/>
        <v>5</v>
      </c>
      <c r="AQ281" s="31">
        <f t="shared" ca="1" si="1597"/>
        <v>0.25</v>
      </c>
      <c r="AR281" s="31">
        <f t="shared" ca="1" si="1597"/>
        <v>0.15</v>
      </c>
      <c r="AS281" s="34">
        <v>0</v>
      </c>
      <c r="AT281" s="229">
        <v>0</v>
      </c>
      <c r="AU281" s="344">
        <f t="shared" ca="1" si="1598"/>
        <v>400</v>
      </c>
      <c r="AV281" s="345">
        <f t="shared" ca="1" si="1599"/>
        <v>400</v>
      </c>
      <c r="AW281" s="346">
        <f t="shared" ca="1" si="1600"/>
        <v>400</v>
      </c>
      <c r="AX281" s="280"/>
      <c r="AY281" s="280"/>
      <c r="AZ281" s="347">
        <f t="shared" ca="1" si="1601"/>
        <v>400</v>
      </c>
      <c r="BA281" s="348">
        <f t="shared" ca="1" si="1602"/>
        <v>400</v>
      </c>
      <c r="BB281" s="347">
        <f t="shared" ca="1" si="1603"/>
        <v>1</v>
      </c>
      <c r="BC281" s="37" t="str">
        <f t="shared" ca="1" si="1603"/>
        <v>1000 контактов</v>
      </c>
      <c r="BD281" s="229" t="str">
        <f t="shared" ca="1" si="1604"/>
        <v>х1000</v>
      </c>
      <c r="BE281" s="283">
        <f t="shared" ca="1" si="1420"/>
        <v>0</v>
      </c>
      <c r="BF281" s="347">
        <f t="array" aca="1" ref="BF281" ca="1">SUM($K281:$V281*$BK281:$BV281)*$AZ281</f>
        <v>0</v>
      </c>
      <c r="BG281" s="347">
        <f t="array" aca="1" ref="BG281" ca="1">SUM($K281:$V281*$BY281:$CJ281*$BK281:$BV281)*$AZ281*$BX281</f>
        <v>0</v>
      </c>
      <c r="BH281" s="347">
        <f t="array" aca="1" ref="BH281" ca="1">SUM($K281:$V281*$BY281:$CJ281*$BK281:$BV281)*(1-$BE281)*$AZ281*$BX281</f>
        <v>0</v>
      </c>
      <c r="BI281" s="350">
        <f t="shared" ca="1" si="1605"/>
        <v>0</v>
      </c>
      <c r="BJ281" s="275" t="str">
        <f t="shared" ca="1" si="1606"/>
        <v>Да</v>
      </c>
      <c r="BK281" s="116">
        <f t="shared" ca="1" si="1607"/>
        <v>0.8</v>
      </c>
      <c r="BL281" s="117">
        <f t="shared" ca="1" si="1607"/>
        <v>0.9</v>
      </c>
      <c r="BM281" s="117">
        <f t="shared" ca="1" si="1607"/>
        <v>1</v>
      </c>
      <c r="BN281" s="117">
        <f t="shared" ca="1" si="1607"/>
        <v>1</v>
      </c>
      <c r="BO281" s="117">
        <f t="shared" ca="1" si="1607"/>
        <v>1</v>
      </c>
      <c r="BP281" s="117">
        <f t="shared" ca="1" si="1607"/>
        <v>1</v>
      </c>
      <c r="BQ281" s="117">
        <f t="shared" ca="1" si="1607"/>
        <v>0.9</v>
      </c>
      <c r="BR281" s="117">
        <f t="shared" ca="1" si="1607"/>
        <v>0.9</v>
      </c>
      <c r="BS281" s="117">
        <f t="shared" ca="1" si="1607"/>
        <v>1.3</v>
      </c>
      <c r="BT281" s="117">
        <f t="shared" ca="1" si="1607"/>
        <v>1.3</v>
      </c>
      <c r="BU281" s="117">
        <f t="shared" ca="1" si="1607"/>
        <v>1.3</v>
      </c>
      <c r="BV281" s="278">
        <f t="shared" ca="1" si="1607"/>
        <v>1.3</v>
      </c>
      <c r="BW281" s="280">
        <f t="shared" si="1421"/>
        <v>3</v>
      </c>
      <c r="BX281" s="118">
        <f>IF($AN281="Ya",100%,100%+extraDelayZ)</f>
        <v>1</v>
      </c>
      <c r="BY281" s="263">
        <f t="shared" ref="BY281" si="1621">(1+AA281)</f>
        <v>1</v>
      </c>
      <c r="BZ281" s="264">
        <f t="shared" ref="BZ281" si="1622">(1+AB281)</f>
        <v>1</v>
      </c>
      <c r="CA281" s="264">
        <f t="shared" ref="CA281" si="1623">(1+AC281)</f>
        <v>1</v>
      </c>
      <c r="CB281" s="264">
        <f t="shared" ref="CB281" si="1624">(1+AD281)</f>
        <v>1</v>
      </c>
      <c r="CC281" s="264">
        <f t="shared" ref="CC281" si="1625">(1+AE281)</f>
        <v>1</v>
      </c>
      <c r="CD281" s="264">
        <f t="shared" ref="CD281" si="1626">(1+AF281)</f>
        <v>1</v>
      </c>
      <c r="CE281" s="264">
        <f t="shared" ref="CE281" si="1627">(1+AG281)</f>
        <v>1</v>
      </c>
      <c r="CF281" s="264">
        <f t="shared" ref="CF281" si="1628">(1+AH281)</f>
        <v>1</v>
      </c>
      <c r="CG281" s="264">
        <f t="shared" ref="CG281" si="1629">(1+AI281)</f>
        <v>1</v>
      </c>
      <c r="CH281" s="264">
        <f t="shared" ref="CH281" si="1630">(1+AJ281)</f>
        <v>1</v>
      </c>
      <c r="CI281" s="264">
        <f t="shared" ref="CI281" si="1631">(1+AK281)</f>
        <v>1</v>
      </c>
      <c r="CJ281" s="265">
        <f t="shared" ref="CJ281" si="1632">(1+AL281)</f>
        <v>1</v>
      </c>
      <c r="CK281" s="269">
        <f t="array" ref="CK281">IF(ISERROR(SUM($K281:$V281*$BY281:$CJ281)/SUM($K281:$V281)),1,SUM($K281:$V281*$BY281:$CJ281)/SUM($K281:$V281))-1</f>
        <v>0</v>
      </c>
      <c r="CL281" s="234"/>
    </row>
    <row r="282" spans="1:90" ht="12.75" hidden="1" outlineLevel="1" x14ac:dyDescent="0.2">
      <c r="B282" s="404" t="str">
        <f t="shared" ca="1" si="1587"/>
        <v>Все страницы, 970х90</v>
      </c>
      <c r="C282" s="676" t="str">
        <f t="shared" ca="1" si="1588"/>
        <v>х1000</v>
      </c>
      <c r="D282" s="405">
        <f t="shared" ca="1" si="1589"/>
        <v>376</v>
      </c>
      <c r="E282" s="405">
        <f t="shared" ca="1" si="1590"/>
        <v>376</v>
      </c>
      <c r="F282" s="405">
        <f t="shared" ca="1" si="1591"/>
        <v>376</v>
      </c>
      <c r="G282" s="406">
        <f t="shared" ca="1" si="1592"/>
        <v>376</v>
      </c>
      <c r="H282" s="406">
        <f t="shared" ca="1" si="1593"/>
        <v>376</v>
      </c>
      <c r="I282" s="406">
        <f t="shared" ca="1" si="1594"/>
        <v>0</v>
      </c>
      <c r="J282" s="407">
        <f t="shared" ca="1" si="1595"/>
        <v>0</v>
      </c>
      <c r="K282" s="617"/>
      <c r="L282" s="618"/>
      <c r="M282" s="618"/>
      <c r="N282" s="618"/>
      <c r="O282" s="618"/>
      <c r="P282" s="618"/>
      <c r="Q282" s="618"/>
      <c r="R282" s="618"/>
      <c r="S282" s="618"/>
      <c r="T282" s="618"/>
      <c r="U282" s="618"/>
      <c r="V282" s="619"/>
      <c r="W282" s="406">
        <f t="shared" ca="1" si="1394"/>
        <v>0</v>
      </c>
      <c r="X282" s="406"/>
      <c r="Y282" s="411"/>
      <c r="Z282" s="412">
        <f t="shared" ref="Z282" si="1633">CK282</f>
        <v>0</v>
      </c>
      <c r="AA282" s="620"/>
      <c r="AB282" s="620"/>
      <c r="AC282" s="620"/>
      <c r="AD282" s="620"/>
      <c r="AE282" s="620"/>
      <c r="AF282" s="620"/>
      <c r="AG282" s="620"/>
      <c r="AH282" s="620"/>
      <c r="AI282" s="620"/>
      <c r="AJ282" s="620"/>
      <c r="AK282" s="620"/>
      <c r="AL282" s="620"/>
      <c r="AM282" s="621"/>
      <c r="AN282" s="351" t="s">
        <v>71</v>
      </c>
      <c r="AO282" s="351" t="str">
        <f t="shared" si="1419"/>
        <v>GoodHouse.ru</v>
      </c>
      <c r="AP282" s="115">
        <f t="shared" si="1544"/>
        <v>5</v>
      </c>
      <c r="AQ282" s="31">
        <f t="shared" ca="1" si="1597"/>
        <v>0.25</v>
      </c>
      <c r="AR282" s="31">
        <f t="shared" ca="1" si="1597"/>
        <v>0.15</v>
      </c>
      <c r="AS282" s="34">
        <v>0</v>
      </c>
      <c r="AT282" s="229">
        <v>0</v>
      </c>
      <c r="AU282" s="344">
        <f t="shared" ca="1" si="1598"/>
        <v>376</v>
      </c>
      <c r="AV282" s="345">
        <f t="shared" ca="1" si="1599"/>
        <v>376</v>
      </c>
      <c r="AW282" s="346">
        <f t="shared" ca="1" si="1600"/>
        <v>376</v>
      </c>
      <c r="AX282" s="280"/>
      <c r="AY282" s="280"/>
      <c r="AZ282" s="347">
        <f t="shared" ca="1" si="1601"/>
        <v>376</v>
      </c>
      <c r="BA282" s="348">
        <f t="shared" ca="1" si="1602"/>
        <v>376</v>
      </c>
      <c r="BB282" s="347">
        <f t="shared" ca="1" si="1603"/>
        <v>1</v>
      </c>
      <c r="BC282" s="37" t="str">
        <f t="shared" ca="1" si="1603"/>
        <v>1000 контактов</v>
      </c>
      <c r="BD282" s="229" t="str">
        <f t="shared" ca="1" si="1604"/>
        <v>х1000</v>
      </c>
      <c r="BE282" s="283">
        <f t="shared" ca="1" si="1420"/>
        <v>0</v>
      </c>
      <c r="BF282" s="347">
        <f t="array" aca="1" ref="BF282" ca="1">SUM($K282:$V282*$BK282:$BV282)*$AZ282</f>
        <v>0</v>
      </c>
      <c r="BG282" s="347">
        <f t="array" aca="1" ref="BG282" ca="1">SUM($K282:$V282*$BY282:$CJ282*$BK282:$BV282)*$AZ282*$BX282</f>
        <v>0</v>
      </c>
      <c r="BH282" s="347">
        <f t="array" aca="1" ref="BH282" ca="1">SUM($K282:$V282*$BY282:$CJ282*$BK282:$BV282)*(1-$BE282)*$AZ282*$BX282</f>
        <v>0</v>
      </c>
      <c r="BI282" s="350">
        <f t="shared" ca="1" si="1605"/>
        <v>0</v>
      </c>
      <c r="BJ282" s="275" t="str">
        <f t="shared" ca="1" si="1606"/>
        <v>Да</v>
      </c>
      <c r="BK282" s="116">
        <f t="shared" ca="1" si="1607"/>
        <v>0.8</v>
      </c>
      <c r="BL282" s="117">
        <f t="shared" ca="1" si="1607"/>
        <v>0.9</v>
      </c>
      <c r="BM282" s="117">
        <f t="shared" ca="1" si="1607"/>
        <v>1</v>
      </c>
      <c r="BN282" s="117">
        <f t="shared" ca="1" si="1607"/>
        <v>1</v>
      </c>
      <c r="BO282" s="117">
        <f t="shared" ca="1" si="1607"/>
        <v>1</v>
      </c>
      <c r="BP282" s="117">
        <f t="shared" ca="1" si="1607"/>
        <v>1</v>
      </c>
      <c r="BQ282" s="117">
        <f t="shared" ca="1" si="1607"/>
        <v>0.9</v>
      </c>
      <c r="BR282" s="117">
        <f t="shared" ca="1" si="1607"/>
        <v>0.9</v>
      </c>
      <c r="BS282" s="117">
        <f t="shared" ca="1" si="1607"/>
        <v>1.3</v>
      </c>
      <c r="BT282" s="117">
        <f t="shared" ca="1" si="1607"/>
        <v>1.3</v>
      </c>
      <c r="BU282" s="117">
        <f t="shared" ca="1" si="1607"/>
        <v>1.3</v>
      </c>
      <c r="BV282" s="278">
        <f t="shared" ca="1" si="1607"/>
        <v>1.3</v>
      </c>
      <c r="BW282" s="280">
        <f t="shared" si="1421"/>
        <v>4</v>
      </c>
      <c r="BX282" s="118">
        <f>IF($AN282="Ya",100%,100%+extraDelayZ)</f>
        <v>1</v>
      </c>
      <c r="BY282" s="263">
        <f t="shared" ref="BY282" si="1634">(1+AA282)</f>
        <v>1</v>
      </c>
      <c r="BZ282" s="264">
        <f t="shared" ref="BZ282" si="1635">(1+AB282)</f>
        <v>1</v>
      </c>
      <c r="CA282" s="264">
        <f t="shared" ref="CA282" si="1636">(1+AC282)</f>
        <v>1</v>
      </c>
      <c r="CB282" s="264">
        <f t="shared" ref="CB282" si="1637">(1+AD282)</f>
        <v>1</v>
      </c>
      <c r="CC282" s="264">
        <f t="shared" ref="CC282" si="1638">(1+AE282)</f>
        <v>1</v>
      </c>
      <c r="CD282" s="264">
        <f t="shared" ref="CD282" si="1639">(1+AF282)</f>
        <v>1</v>
      </c>
      <c r="CE282" s="264">
        <f t="shared" ref="CE282" si="1640">(1+AG282)</f>
        <v>1</v>
      </c>
      <c r="CF282" s="264">
        <f t="shared" ref="CF282" si="1641">(1+AH282)</f>
        <v>1</v>
      </c>
      <c r="CG282" s="264">
        <f t="shared" ref="CG282" si="1642">(1+AI282)</f>
        <v>1</v>
      </c>
      <c r="CH282" s="264">
        <f t="shared" ref="CH282" si="1643">(1+AJ282)</f>
        <v>1</v>
      </c>
      <c r="CI282" s="264">
        <f t="shared" ref="CI282" si="1644">(1+AK282)</f>
        <v>1</v>
      </c>
      <c r="CJ282" s="265">
        <f t="shared" ref="CJ282" si="1645">(1+AL282)</f>
        <v>1</v>
      </c>
      <c r="CK282" s="269">
        <f t="array" ref="CK282">IF(ISERROR(SUM($K282:$V282*$BY282:$CJ282)/SUM($K282:$V282)),1,SUM($K282:$V282*$BY282:$CJ282)/SUM($K282:$V282))-1</f>
        <v>0</v>
      </c>
      <c r="CL282" s="234"/>
    </row>
    <row r="283" spans="1:90" ht="12.75" hidden="1" outlineLevel="1" x14ac:dyDescent="0.2">
      <c r="B283" s="414" t="str">
        <f t="shared" ca="1" si="1587"/>
        <v>Все страницы, Синхрон 240х400+970х90</v>
      </c>
      <c r="C283" s="676" t="str">
        <f t="shared" ca="1" si="1588"/>
        <v>х1000</v>
      </c>
      <c r="D283" s="415">
        <f t="shared" ca="1" si="1589"/>
        <v>750</v>
      </c>
      <c r="E283" s="415">
        <f t="shared" ca="1" si="1590"/>
        <v>750</v>
      </c>
      <c r="F283" s="415">
        <f t="shared" ca="1" si="1591"/>
        <v>750</v>
      </c>
      <c r="G283" s="416">
        <f t="shared" ca="1" si="1592"/>
        <v>750</v>
      </c>
      <c r="H283" s="416">
        <f t="shared" ca="1" si="1593"/>
        <v>750</v>
      </c>
      <c r="I283" s="406">
        <f t="shared" ca="1" si="1594"/>
        <v>0</v>
      </c>
      <c r="J283" s="407">
        <f t="shared" ca="1" si="1595"/>
        <v>0</v>
      </c>
      <c r="K283" s="622"/>
      <c r="L283" s="623"/>
      <c r="M283" s="623"/>
      <c r="N283" s="623"/>
      <c r="O283" s="623"/>
      <c r="P283" s="623"/>
      <c r="Q283" s="623"/>
      <c r="R283" s="623"/>
      <c r="S283" s="623"/>
      <c r="T283" s="623"/>
      <c r="U283" s="623"/>
      <c r="V283" s="624"/>
      <c r="W283" s="416">
        <f t="shared" ca="1" si="1394"/>
        <v>0</v>
      </c>
      <c r="X283" s="416"/>
      <c r="Y283" s="420"/>
      <c r="Z283" s="412">
        <f t="shared" si="1596"/>
        <v>0</v>
      </c>
      <c r="AA283" s="625"/>
      <c r="AB283" s="625"/>
      <c r="AC283" s="625"/>
      <c r="AD283" s="625"/>
      <c r="AE283" s="625"/>
      <c r="AF283" s="625"/>
      <c r="AG283" s="625"/>
      <c r="AH283" s="625"/>
      <c r="AI283" s="625"/>
      <c r="AJ283" s="625"/>
      <c r="AK283" s="625"/>
      <c r="AL283" s="625"/>
      <c r="AM283" s="626"/>
      <c r="AN283" s="351" t="s">
        <v>71</v>
      </c>
      <c r="AO283" s="351" t="str">
        <f t="shared" si="1419"/>
        <v>GoodHouse.ru</v>
      </c>
      <c r="AP283" s="115">
        <f t="shared" si="1544"/>
        <v>5</v>
      </c>
      <c r="AQ283" s="31">
        <f t="shared" ca="1" si="1597"/>
        <v>0.25</v>
      </c>
      <c r="AR283" s="31">
        <f t="shared" ca="1" si="1597"/>
        <v>0.15</v>
      </c>
      <c r="AS283" s="34">
        <v>0</v>
      </c>
      <c r="AT283" s="229">
        <v>0</v>
      </c>
      <c r="AU283" s="344">
        <f t="shared" ca="1" si="1598"/>
        <v>750</v>
      </c>
      <c r="AV283" s="345">
        <f t="shared" ca="1" si="1599"/>
        <v>750</v>
      </c>
      <c r="AW283" s="346">
        <f t="shared" ca="1" si="1600"/>
        <v>750</v>
      </c>
      <c r="AX283" s="280"/>
      <c r="AY283" s="280"/>
      <c r="AZ283" s="347">
        <f t="shared" ca="1" si="1601"/>
        <v>750</v>
      </c>
      <c r="BA283" s="348">
        <f t="shared" ca="1" si="1602"/>
        <v>750</v>
      </c>
      <c r="BB283" s="347">
        <f t="shared" ca="1" si="1603"/>
        <v>1</v>
      </c>
      <c r="BC283" s="37" t="str">
        <f t="shared" ca="1" si="1603"/>
        <v>1000 контактов</v>
      </c>
      <c r="BD283" s="229" t="str">
        <f t="shared" ca="1" si="1604"/>
        <v>х1000</v>
      </c>
      <c r="BE283" s="283">
        <f t="shared" ca="1" si="1420"/>
        <v>0</v>
      </c>
      <c r="BF283" s="347">
        <f t="array" aca="1" ref="BF283" ca="1">SUM($K283:$V283*$BK283:$BV283)*$AZ283</f>
        <v>0</v>
      </c>
      <c r="BG283" s="347">
        <f t="array" aca="1" ref="BG283" ca="1">SUM($K283:$V283*$BY283:$CJ283*$BK283:$BV283)*$AZ283*$BX283</f>
        <v>0</v>
      </c>
      <c r="BH283" s="347">
        <f t="array" aca="1" ref="BH283" ca="1">SUM($K283:$V283*$BY283:$CJ283*$BK283:$BV283)*(1-$BE283)*$AZ283*$BX283</f>
        <v>0</v>
      </c>
      <c r="BI283" s="350">
        <f t="shared" ca="1" si="1605"/>
        <v>0</v>
      </c>
      <c r="BJ283" s="275" t="str">
        <f t="shared" ca="1" si="1606"/>
        <v>Да</v>
      </c>
      <c r="BK283" s="116">
        <f t="shared" ca="1" si="1607"/>
        <v>0.8</v>
      </c>
      <c r="BL283" s="117">
        <f t="shared" ca="1" si="1607"/>
        <v>0.9</v>
      </c>
      <c r="BM283" s="117">
        <f t="shared" ca="1" si="1607"/>
        <v>1</v>
      </c>
      <c r="BN283" s="117">
        <f t="shared" ca="1" si="1607"/>
        <v>1</v>
      </c>
      <c r="BO283" s="117">
        <f t="shared" ca="1" si="1607"/>
        <v>1</v>
      </c>
      <c r="BP283" s="117">
        <f t="shared" ca="1" si="1607"/>
        <v>1</v>
      </c>
      <c r="BQ283" s="117">
        <f t="shared" ca="1" si="1607"/>
        <v>0.9</v>
      </c>
      <c r="BR283" s="117">
        <f t="shared" ca="1" si="1607"/>
        <v>0.9</v>
      </c>
      <c r="BS283" s="117">
        <f t="shared" ca="1" si="1607"/>
        <v>1.3</v>
      </c>
      <c r="BT283" s="117">
        <f t="shared" ca="1" si="1607"/>
        <v>1.3</v>
      </c>
      <c r="BU283" s="117">
        <f t="shared" ca="1" si="1607"/>
        <v>1.3</v>
      </c>
      <c r="BV283" s="278">
        <f t="shared" ca="1" si="1607"/>
        <v>1.3</v>
      </c>
      <c r="BW283" s="280">
        <f t="shared" si="1421"/>
        <v>5</v>
      </c>
      <c r="BX283" s="118">
        <f>IF($AN283="Ya",100%,100%+extraDelayZ)</f>
        <v>1</v>
      </c>
      <c r="BY283" s="263">
        <f t="shared" si="1608"/>
        <v>1</v>
      </c>
      <c r="BZ283" s="264">
        <f t="shared" si="1609"/>
        <v>1</v>
      </c>
      <c r="CA283" s="264">
        <f t="shared" si="1610"/>
        <v>1</v>
      </c>
      <c r="CB283" s="264">
        <f t="shared" si="1611"/>
        <v>1</v>
      </c>
      <c r="CC283" s="264">
        <f t="shared" si="1612"/>
        <v>1</v>
      </c>
      <c r="CD283" s="264">
        <f t="shared" si="1613"/>
        <v>1</v>
      </c>
      <c r="CE283" s="264">
        <f t="shared" si="1614"/>
        <v>1</v>
      </c>
      <c r="CF283" s="264">
        <f t="shared" si="1615"/>
        <v>1</v>
      </c>
      <c r="CG283" s="264">
        <f t="shared" si="1616"/>
        <v>1</v>
      </c>
      <c r="CH283" s="264">
        <f t="shared" si="1617"/>
        <v>1</v>
      </c>
      <c r="CI283" s="264">
        <f t="shared" si="1618"/>
        <v>1</v>
      </c>
      <c r="CJ283" s="265">
        <f t="shared" si="1619"/>
        <v>1</v>
      </c>
      <c r="CK283" s="269">
        <f t="array" ref="CK283">IF(ISERROR(SUM($K283:$V283*$BY283:$CJ283)/SUM($K283:$V283)),1,SUM($K283:$V283*$BY283:$CJ283)/SUM($K283:$V283))-1</f>
        <v>0</v>
      </c>
      <c r="CL283" s="234"/>
    </row>
    <row r="284" spans="1:90" ht="15" collapsed="1" x14ac:dyDescent="0.2">
      <c r="A284" s="391"/>
      <c r="B284" s="392" t="str">
        <f>CONCATENATE($AO284,IF($AX284&gt;0,CONCATENATE("  (план ",TEXT(INDEX(indBudX,MATCH($AN284,indPrefixX,0)),"# ##0")," руб.)"),""))</f>
        <v>Medportal.ru</v>
      </c>
      <c r="C284" s="650" t="s">
        <v>363</v>
      </c>
      <c r="D284" s="393"/>
      <c r="E284" s="394"/>
      <c r="F284" s="394"/>
      <c r="G284" s="395"/>
      <c r="H284" s="395"/>
      <c r="I284" s="395">
        <f t="shared" ref="I284" ca="1" si="1646">$BG284</f>
        <v>0</v>
      </c>
      <c r="J284" s="396">
        <f ca="1">$BH284</f>
        <v>0</v>
      </c>
      <c r="K284" s="397"/>
      <c r="L284" s="398"/>
      <c r="M284" s="398"/>
      <c r="N284" s="398"/>
      <c r="O284" s="398"/>
      <c r="P284" s="398"/>
      <c r="Q284" s="398"/>
      <c r="R284" s="398"/>
      <c r="S284" s="398"/>
      <c r="T284" s="398"/>
      <c r="U284" s="398"/>
      <c r="V284" s="399"/>
      <c r="W284" s="395">
        <f t="shared" ca="1" si="1394"/>
        <v>0</v>
      </c>
      <c r="X284" s="576"/>
      <c r="Y284" s="400">
        <f ca="1">$BE284</f>
        <v>0</v>
      </c>
      <c r="Z284" s="401"/>
      <c r="AA284" s="402"/>
      <c r="AB284" s="402"/>
      <c r="AC284" s="402"/>
      <c r="AD284" s="402"/>
      <c r="AE284" s="402"/>
      <c r="AF284" s="402"/>
      <c r="AG284" s="402"/>
      <c r="AH284" s="402"/>
      <c r="AI284" s="402"/>
      <c r="AJ284" s="402"/>
      <c r="AK284" s="402"/>
      <c r="AL284" s="402"/>
      <c r="AM284" s="403"/>
      <c r="AN284" s="130" t="s">
        <v>47</v>
      </c>
      <c r="AO284" s="130" t="str">
        <f t="shared" si="1419"/>
        <v>Medportal.ru</v>
      </c>
      <c r="AP284" s="119">
        <f t="shared" si="1544"/>
        <v>6</v>
      </c>
      <c r="AQ284" s="120"/>
      <c r="AR284" s="120"/>
      <c r="AS284" s="121"/>
      <c r="AT284" s="228"/>
      <c r="AU284" s="232"/>
      <c r="AV284" s="179"/>
      <c r="AW284" s="233"/>
      <c r="AX284" s="279">
        <f>IF(ISERROR(INDEX(indBudX,MATCH($AN284,indPrefixX,0))),0,INDEX(indBudX,MATCH($AN284,indPrefixX,0)))</f>
        <v>0</v>
      </c>
      <c r="AY284" s="279">
        <f>IF(ISNUMBER($X284),$X284,0)</f>
        <v>0</v>
      </c>
      <c r="AZ284" s="123"/>
      <c r="BA284" s="125"/>
      <c r="BB284" s="123"/>
      <c r="BC284" s="124"/>
      <c r="BD284" s="464"/>
      <c r="BE284" s="282">
        <f t="shared" ca="1" si="1420"/>
        <v>0</v>
      </c>
      <c r="BF284" s="123">
        <f t="shared" ref="BF284:BI284" ca="1" si="1647">SUM(OFFSET(BF284,1,0,$AP284-1,1))</f>
        <v>0</v>
      </c>
      <c r="BG284" s="123">
        <f t="shared" ca="1" si="1647"/>
        <v>0</v>
      </c>
      <c r="BH284" s="123">
        <f t="shared" ca="1" si="1647"/>
        <v>0</v>
      </c>
      <c r="BI284" s="273">
        <f t="shared" ca="1" si="1647"/>
        <v>0</v>
      </c>
      <c r="BJ284" s="274"/>
      <c r="BK284" s="126"/>
      <c r="BL284" s="127"/>
      <c r="BM284" s="127"/>
      <c r="BN284" s="127"/>
      <c r="BO284" s="127"/>
      <c r="BP284" s="127"/>
      <c r="BQ284" s="127"/>
      <c r="BR284" s="127"/>
      <c r="BS284" s="127"/>
      <c r="BT284" s="127"/>
      <c r="BU284" s="127"/>
      <c r="BV284" s="277"/>
      <c r="BW284" s="279">
        <f t="shared" si="1421"/>
        <v>1</v>
      </c>
      <c r="BX284" s="128"/>
      <c r="BY284" s="260"/>
      <c r="BZ284" s="261"/>
      <c r="CA284" s="261"/>
      <c r="CB284" s="261"/>
      <c r="CC284" s="261"/>
      <c r="CD284" s="261"/>
      <c r="CE284" s="261"/>
      <c r="CF284" s="261"/>
      <c r="CG284" s="261"/>
      <c r="CH284" s="261"/>
      <c r="CI284" s="261"/>
      <c r="CJ284" s="262"/>
      <c r="CK284" s="270"/>
      <c r="CL284" s="234"/>
    </row>
    <row r="285" spans="1:90" ht="12.75" hidden="1" outlineLevel="1" x14ac:dyDescent="0.2">
      <c r="B285" s="404" t="str">
        <f ca="1">INDEX(INDIRECT(LOWER($AN285)&amp;"Price"),$BW285,2)</f>
        <v>Пакет "МАМА", 240х400</v>
      </c>
      <c r="C285" s="649" t="str">
        <f t="shared" ref="C285:C289" ca="1" si="1648">$BD285</f>
        <v>Пакет</v>
      </c>
      <c r="D285" s="405">
        <f ca="1">$AU285</f>
        <v>500</v>
      </c>
      <c r="E285" s="405">
        <f ca="1">$AV285</f>
        <v>500</v>
      </c>
      <c r="F285" s="405">
        <f ca="1">$AW285</f>
        <v>500</v>
      </c>
      <c r="G285" s="406">
        <f ca="1">$AZ285</f>
        <v>250000</v>
      </c>
      <c r="H285" s="406">
        <f ca="1">$BA285</f>
        <v>250000</v>
      </c>
      <c r="I285" s="406">
        <f t="shared" ref="I285:I290" ca="1" si="1649">$BG285</f>
        <v>0</v>
      </c>
      <c r="J285" s="407">
        <f t="shared" ref="J285:J289" ca="1" si="1650">$BH285</f>
        <v>0</v>
      </c>
      <c r="K285" s="408"/>
      <c r="L285" s="409"/>
      <c r="M285" s="409"/>
      <c r="N285" s="409"/>
      <c r="O285" s="409"/>
      <c r="P285" s="409"/>
      <c r="Q285" s="409"/>
      <c r="R285" s="409"/>
      <c r="S285" s="409"/>
      <c r="T285" s="409"/>
      <c r="U285" s="409"/>
      <c r="V285" s="410"/>
      <c r="W285" s="406">
        <f t="shared" ca="1" si="1394"/>
        <v>0</v>
      </c>
      <c r="X285" s="406"/>
      <c r="Y285" s="411"/>
      <c r="Z285" s="412">
        <f t="shared" ref="Z285:Z289" si="1651">CK285</f>
        <v>0</v>
      </c>
      <c r="AA285" s="413"/>
      <c r="AB285" s="413"/>
      <c r="AC285" s="413"/>
      <c r="AD285" s="413"/>
      <c r="AE285" s="413"/>
      <c r="AF285" s="413"/>
      <c r="AG285" s="413"/>
      <c r="AH285" s="413"/>
      <c r="AI285" s="413"/>
      <c r="AJ285" s="413"/>
      <c r="AK285" s="413"/>
      <c r="AL285" s="413"/>
      <c r="AM285" s="572"/>
      <c r="AN285" s="351" t="s">
        <v>47</v>
      </c>
      <c r="AO285" s="351" t="str">
        <f t="shared" si="1419"/>
        <v>Medportal.ru</v>
      </c>
      <c r="AP285" s="115">
        <f t="shared" si="1544"/>
        <v>6</v>
      </c>
      <c r="AQ285" s="31">
        <f t="shared" ref="AQ285:AR289" ca="1" si="1652">HLOOKUP(AQ$10,INDIRECT(LOWER($AN285)&amp;"Price"),$BW285,FALSE)</f>
        <v>0.5</v>
      </c>
      <c r="AR285" s="31" t="str">
        <f t="shared" ca="1" si="1652"/>
        <v>-</v>
      </c>
      <c r="AS285" s="35">
        <v>0</v>
      </c>
      <c r="AT285" s="229">
        <v>0</v>
      </c>
      <c r="AU285" s="344">
        <f ca="1">HLOOKUP(AU$10,INDIRECT(LOWER($AN285)&amp;"Price"),$BW285,FALSE)</f>
        <v>500</v>
      </c>
      <c r="AV285" s="345">
        <f ca="1">IF(ISERROR($BG285/$BI285),$AU285,$BG285/$BI285)</f>
        <v>500</v>
      </c>
      <c r="AW285" s="346">
        <f ca="1">$AV285*(1-$BE285)</f>
        <v>500</v>
      </c>
      <c r="AX285" s="280"/>
      <c r="AY285" s="280"/>
      <c r="AZ285" s="347">
        <f ca="1">HLOOKUP(AZ$10,INDIRECT(LOWER($AN285)&amp;"Price"),$BW285,FALSE)</f>
        <v>250000</v>
      </c>
      <c r="BA285" s="348">
        <f ca="1">$AZ285*(1-$BE285)</f>
        <v>250000</v>
      </c>
      <c r="BB285" s="347">
        <f t="shared" ref="BB285:BC289" ca="1" si="1653">HLOOKUP(BB$10,INDIRECT(LOWER($AN285)&amp;"Price"),$BW285,FALSE)</f>
        <v>500</v>
      </c>
      <c r="BC285" s="37" t="str">
        <f t="shared" ca="1" si="1653"/>
        <v>Пакет</v>
      </c>
      <c r="BD285" s="229" t="str">
        <f ca="1">IF(ISERROR(VLOOKUP($BC285,typeIndexPair,2,FALSE)),"",VLOOKUP($BC285,typeIndexPair,2,FALSE))</f>
        <v>Пакет</v>
      </c>
      <c r="BE285" s="283">
        <f t="shared" ca="1" si="1420"/>
        <v>0</v>
      </c>
      <c r="BF285" s="347">
        <f t="array" aca="1" ref="BF285" ca="1">SUM($K285:$V285*$BK285:$BV285)*$AZ285</f>
        <v>0</v>
      </c>
      <c r="BG285" s="347">
        <f t="array" aca="1" ref="BG285" ca="1">SUM($K285:$V285*$BY285:$CJ285*$BK285:$BV285)*$AZ285*$BX285</f>
        <v>0</v>
      </c>
      <c r="BH285" s="347">
        <f t="array" aca="1" ref="BH285" ca="1">SUM($K285:$V285*$BY285:$CJ285*$BK285:$BV285)*(1-$BE285)*$AZ285*$BX285</f>
        <v>0</v>
      </c>
      <c r="BI285" s="350">
        <f ca="1">SUM($K285:$V285)*$BB285</f>
        <v>0</v>
      </c>
      <c r="BJ285" s="275" t="str">
        <f ca="1">IF(ISERROR(HLOOKUP(BJ$10,INDIRECT(LOWER($AN285)&amp;"Price"),$BW285,FALSE)),"Да",HLOOKUP(BJ$10,INDIRECT(LOWER($AN285)&amp;"Price"),$BW285,FALSE))</f>
        <v>Да</v>
      </c>
      <c r="BK285" s="116">
        <f t="shared" ref="BK285:BV289" ca="1" si="1654">IF($BJ285="Особ.",INDEX(INDIRECT(LOWER($AN285)&amp;"Season2"),BK$9),IF($BJ285="Да",INDEX(INDIRECT(LOWER($AN285)&amp;"Season"),BK$9),100%))</f>
        <v>0.8</v>
      </c>
      <c r="BL285" s="117">
        <f t="shared" ca="1" si="1654"/>
        <v>0.9</v>
      </c>
      <c r="BM285" s="117">
        <f t="shared" ca="1" si="1654"/>
        <v>1</v>
      </c>
      <c r="BN285" s="117">
        <f t="shared" ca="1" si="1654"/>
        <v>1</v>
      </c>
      <c r="BO285" s="117">
        <f t="shared" ca="1" si="1654"/>
        <v>1</v>
      </c>
      <c r="BP285" s="117">
        <f t="shared" ca="1" si="1654"/>
        <v>1</v>
      </c>
      <c r="BQ285" s="117">
        <f t="shared" ca="1" si="1654"/>
        <v>0.9</v>
      </c>
      <c r="BR285" s="117">
        <f t="shared" ca="1" si="1654"/>
        <v>0.9</v>
      </c>
      <c r="BS285" s="117">
        <f t="shared" ca="1" si="1654"/>
        <v>1.3</v>
      </c>
      <c r="BT285" s="117">
        <f t="shared" ca="1" si="1654"/>
        <v>1.3</v>
      </c>
      <c r="BU285" s="117">
        <f t="shared" ca="1" si="1654"/>
        <v>1.3</v>
      </c>
      <c r="BV285" s="278">
        <f t="shared" ca="1" si="1654"/>
        <v>1.3</v>
      </c>
      <c r="BW285" s="280">
        <f t="shared" si="1421"/>
        <v>2</v>
      </c>
      <c r="BX285" s="118">
        <f>IF($AN285="Ya",100%,100%+extraDelayZ)</f>
        <v>1</v>
      </c>
      <c r="BY285" s="263">
        <f t="shared" ref="BY285:BY289" si="1655">(1+AA285)</f>
        <v>1</v>
      </c>
      <c r="BZ285" s="264">
        <f t="shared" ref="BZ285:BZ289" si="1656">(1+AB285)</f>
        <v>1</v>
      </c>
      <c r="CA285" s="264">
        <f t="shared" ref="CA285:CA289" si="1657">(1+AC285)</f>
        <v>1</v>
      </c>
      <c r="CB285" s="264">
        <f t="shared" ref="CB285:CB289" si="1658">(1+AD285)</f>
        <v>1</v>
      </c>
      <c r="CC285" s="264">
        <f t="shared" ref="CC285:CC289" si="1659">(1+AE285)</f>
        <v>1</v>
      </c>
      <c r="CD285" s="264">
        <f t="shared" ref="CD285:CD289" si="1660">(1+AF285)</f>
        <v>1</v>
      </c>
      <c r="CE285" s="264">
        <f t="shared" ref="CE285:CE289" si="1661">(1+AG285)</f>
        <v>1</v>
      </c>
      <c r="CF285" s="264">
        <f t="shared" ref="CF285:CF289" si="1662">(1+AH285)</f>
        <v>1</v>
      </c>
      <c r="CG285" s="264">
        <f t="shared" ref="CG285:CG289" si="1663">(1+AI285)</f>
        <v>1</v>
      </c>
      <c r="CH285" s="264">
        <f t="shared" ref="CH285:CH289" si="1664">(1+AJ285)</f>
        <v>1</v>
      </c>
      <c r="CI285" s="264">
        <f t="shared" ref="CI285:CI289" si="1665">(1+AK285)</f>
        <v>1</v>
      </c>
      <c r="CJ285" s="265">
        <f t="shared" ref="CJ285:CJ289" si="1666">(1+AL285)</f>
        <v>1</v>
      </c>
      <c r="CK285" s="269">
        <f t="array" ref="CK285">IF(ISERROR(SUM($K285:$V285*$BY285:$CJ285)/SUM($K285:$V285)),1,SUM($K285:$V285*$BY285:$CJ285)/SUM($K285:$V285))-1</f>
        <v>0</v>
      </c>
      <c r="CL285" s="234"/>
    </row>
    <row r="286" spans="1:90" ht="12.75" hidden="1" outlineLevel="1" x14ac:dyDescent="0.2">
      <c r="B286" s="404" t="str">
        <f ca="1">INDEX(INDIRECT(LOWER($AN286)&amp;"Price"),$BW286,2)</f>
        <v>Пакет "МАМА", 240х400 (второй экран)</v>
      </c>
      <c r="C286" s="649" t="str">
        <f t="shared" ca="1" si="1648"/>
        <v>Пакет</v>
      </c>
      <c r="D286" s="405">
        <f ca="1">$AU286</f>
        <v>400</v>
      </c>
      <c r="E286" s="405">
        <f ca="1">$AV286</f>
        <v>400</v>
      </c>
      <c r="F286" s="405">
        <f ca="1">$AW286</f>
        <v>400</v>
      </c>
      <c r="G286" s="406">
        <f ca="1">$AZ286</f>
        <v>200000</v>
      </c>
      <c r="H286" s="406">
        <f ca="1">$BA286</f>
        <v>200000</v>
      </c>
      <c r="I286" s="406">
        <f t="shared" ca="1" si="1649"/>
        <v>0</v>
      </c>
      <c r="J286" s="407">
        <f t="shared" ca="1" si="1650"/>
        <v>0</v>
      </c>
      <c r="K286" s="408"/>
      <c r="L286" s="409"/>
      <c r="M286" s="409"/>
      <c r="N286" s="409"/>
      <c r="O286" s="409"/>
      <c r="P286" s="409"/>
      <c r="Q286" s="409"/>
      <c r="R286" s="409"/>
      <c r="S286" s="409"/>
      <c r="T286" s="409"/>
      <c r="U286" s="409"/>
      <c r="V286" s="410"/>
      <c r="W286" s="406">
        <f t="shared" ca="1" si="1394"/>
        <v>0</v>
      </c>
      <c r="X286" s="406"/>
      <c r="Y286" s="411"/>
      <c r="Z286" s="412">
        <f t="shared" si="1651"/>
        <v>0</v>
      </c>
      <c r="AA286" s="413"/>
      <c r="AB286" s="413"/>
      <c r="AC286" s="413"/>
      <c r="AD286" s="413"/>
      <c r="AE286" s="413"/>
      <c r="AF286" s="413"/>
      <c r="AG286" s="413"/>
      <c r="AH286" s="413"/>
      <c r="AI286" s="413"/>
      <c r="AJ286" s="413"/>
      <c r="AK286" s="413"/>
      <c r="AL286" s="413"/>
      <c r="AM286" s="572"/>
      <c r="AN286" s="351" t="s">
        <v>47</v>
      </c>
      <c r="AO286" s="351" t="str">
        <f t="shared" si="1419"/>
        <v>Medportal.ru</v>
      </c>
      <c r="AP286" s="115">
        <f t="shared" si="1544"/>
        <v>6</v>
      </c>
      <c r="AQ286" s="31">
        <f t="shared" ca="1" si="1652"/>
        <v>0.5</v>
      </c>
      <c r="AR286" s="31" t="str">
        <f t="shared" ca="1" si="1652"/>
        <v>-</v>
      </c>
      <c r="AS286" s="34">
        <v>0</v>
      </c>
      <c r="AT286" s="229">
        <v>0</v>
      </c>
      <c r="AU286" s="344">
        <f ca="1">HLOOKUP(AU$10,INDIRECT(LOWER($AN286)&amp;"Price"),$BW286,FALSE)</f>
        <v>400</v>
      </c>
      <c r="AV286" s="345">
        <f ca="1">IF(ISERROR($BG286/$BI286),$AU286,$BG286/$BI286)</f>
        <v>400</v>
      </c>
      <c r="AW286" s="346">
        <f ca="1">$AV286*(1-$BE286)</f>
        <v>400</v>
      </c>
      <c r="AX286" s="280"/>
      <c r="AY286" s="280"/>
      <c r="AZ286" s="347">
        <f ca="1">HLOOKUP(AZ$10,INDIRECT(LOWER($AN286)&amp;"Price"),$BW286,FALSE)</f>
        <v>200000</v>
      </c>
      <c r="BA286" s="348">
        <f ca="1">$AZ286*(1-$BE286)</f>
        <v>200000</v>
      </c>
      <c r="BB286" s="347">
        <f t="shared" ca="1" si="1653"/>
        <v>500</v>
      </c>
      <c r="BC286" s="37" t="str">
        <f t="shared" ca="1" si="1653"/>
        <v>Пакет</v>
      </c>
      <c r="BD286" s="229" t="str">
        <f ca="1">IF(ISERROR(VLOOKUP($BC286,typeIndexPair,2,FALSE)),"",VLOOKUP($BC286,typeIndexPair,2,FALSE))</f>
        <v>Пакет</v>
      </c>
      <c r="BE286" s="283">
        <f t="shared" ca="1" si="1420"/>
        <v>0</v>
      </c>
      <c r="BF286" s="347">
        <f t="array" aca="1" ref="BF286" ca="1">SUM($K286:$V286*$BK286:$BV286)*$AZ286</f>
        <v>0</v>
      </c>
      <c r="BG286" s="347">
        <f t="array" aca="1" ref="BG286" ca="1">SUM($K286:$V286*$BY286:$CJ286*$BK286:$BV286)*$AZ286*$BX286</f>
        <v>0</v>
      </c>
      <c r="BH286" s="347">
        <f t="array" aca="1" ref="BH286" ca="1">SUM($K286:$V286*$BY286:$CJ286*$BK286:$BV286)*(1-$BE286)*$AZ286*$BX286</f>
        <v>0</v>
      </c>
      <c r="BI286" s="350">
        <f ca="1">SUM($K286:$V286)*$BB286</f>
        <v>0</v>
      </c>
      <c r="BJ286" s="275" t="str">
        <f ca="1">IF(ISERROR(HLOOKUP(BJ$10,INDIRECT(LOWER($AN286)&amp;"Price"),$BW286,FALSE)),"Да",HLOOKUP(BJ$10,INDIRECT(LOWER($AN286)&amp;"Price"),$BW286,FALSE))</f>
        <v>Да</v>
      </c>
      <c r="BK286" s="116">
        <f t="shared" ca="1" si="1654"/>
        <v>0.8</v>
      </c>
      <c r="BL286" s="117">
        <f t="shared" ca="1" si="1654"/>
        <v>0.9</v>
      </c>
      <c r="BM286" s="117">
        <f t="shared" ca="1" si="1654"/>
        <v>1</v>
      </c>
      <c r="BN286" s="117">
        <f t="shared" ca="1" si="1654"/>
        <v>1</v>
      </c>
      <c r="BO286" s="117">
        <f t="shared" ca="1" si="1654"/>
        <v>1</v>
      </c>
      <c r="BP286" s="117">
        <f t="shared" ca="1" si="1654"/>
        <v>1</v>
      </c>
      <c r="BQ286" s="117">
        <f t="shared" ca="1" si="1654"/>
        <v>0.9</v>
      </c>
      <c r="BR286" s="117">
        <f t="shared" ca="1" si="1654"/>
        <v>0.9</v>
      </c>
      <c r="BS286" s="117">
        <f t="shared" ca="1" si="1654"/>
        <v>1.3</v>
      </c>
      <c r="BT286" s="117">
        <f t="shared" ca="1" si="1654"/>
        <v>1.3</v>
      </c>
      <c r="BU286" s="117">
        <f t="shared" ca="1" si="1654"/>
        <v>1.3</v>
      </c>
      <c r="BV286" s="278">
        <f t="shared" ca="1" si="1654"/>
        <v>1.3</v>
      </c>
      <c r="BW286" s="280">
        <f t="shared" si="1421"/>
        <v>3</v>
      </c>
      <c r="BX286" s="118">
        <f>IF($AN286="Ya",100%,100%+extraDelayZ)</f>
        <v>1</v>
      </c>
      <c r="BY286" s="263">
        <f t="shared" si="1655"/>
        <v>1</v>
      </c>
      <c r="BZ286" s="264">
        <f t="shared" si="1656"/>
        <v>1</v>
      </c>
      <c r="CA286" s="264">
        <f t="shared" si="1657"/>
        <v>1</v>
      </c>
      <c r="CB286" s="264">
        <f t="shared" si="1658"/>
        <v>1</v>
      </c>
      <c r="CC286" s="264">
        <f t="shared" si="1659"/>
        <v>1</v>
      </c>
      <c r="CD286" s="264">
        <f t="shared" si="1660"/>
        <v>1</v>
      </c>
      <c r="CE286" s="264">
        <f t="shared" si="1661"/>
        <v>1</v>
      </c>
      <c r="CF286" s="264">
        <f t="shared" si="1662"/>
        <v>1</v>
      </c>
      <c r="CG286" s="264">
        <f t="shared" si="1663"/>
        <v>1</v>
      </c>
      <c r="CH286" s="264">
        <f t="shared" si="1664"/>
        <v>1</v>
      </c>
      <c r="CI286" s="264">
        <f t="shared" si="1665"/>
        <v>1</v>
      </c>
      <c r="CJ286" s="265">
        <f t="shared" si="1666"/>
        <v>1</v>
      </c>
      <c r="CK286" s="269">
        <f t="array" ref="CK286">IF(ISERROR(SUM($K286:$V286*$BY286:$CJ286)/SUM($K286:$V286)),1,SUM($K286:$V286*$BY286:$CJ286)/SUM($K286:$V286))-1</f>
        <v>0</v>
      </c>
      <c r="CL286" s="234"/>
    </row>
    <row r="287" spans="1:90" ht="12.75" hidden="1" outlineLevel="1" x14ac:dyDescent="0.2">
      <c r="B287" s="404" t="str">
        <f ca="1">INDEX(INDIRECT(LOWER($AN287)&amp;"Price"),$BW287,2)</f>
        <v>Пакет "МАМА", 100%х90</v>
      </c>
      <c r="C287" s="649" t="str">
        <f t="shared" ca="1" si="1648"/>
        <v>Пакет</v>
      </c>
      <c r="D287" s="405">
        <f ca="1">$AU287</f>
        <v>400</v>
      </c>
      <c r="E287" s="405">
        <f ca="1">$AV287</f>
        <v>400</v>
      </c>
      <c r="F287" s="405">
        <f ca="1">$AW287</f>
        <v>400</v>
      </c>
      <c r="G287" s="406">
        <f ca="1">$AZ287</f>
        <v>100000</v>
      </c>
      <c r="H287" s="406">
        <f ca="1">$BA287</f>
        <v>100000</v>
      </c>
      <c r="I287" s="406">
        <f t="shared" ca="1" si="1649"/>
        <v>0</v>
      </c>
      <c r="J287" s="407">
        <f t="shared" ca="1" si="1650"/>
        <v>0</v>
      </c>
      <c r="K287" s="408"/>
      <c r="L287" s="409"/>
      <c r="M287" s="409"/>
      <c r="N287" s="409"/>
      <c r="O287" s="409"/>
      <c r="P287" s="409"/>
      <c r="Q287" s="409"/>
      <c r="R287" s="409"/>
      <c r="S287" s="409"/>
      <c r="T287" s="409"/>
      <c r="U287" s="409"/>
      <c r="V287" s="410"/>
      <c r="W287" s="406">
        <f t="shared" ca="1" si="1394"/>
        <v>0</v>
      </c>
      <c r="X287" s="406"/>
      <c r="Y287" s="411"/>
      <c r="Z287" s="412">
        <f t="shared" ref="Z287" si="1667">CK287</f>
        <v>0</v>
      </c>
      <c r="AA287" s="413"/>
      <c r="AB287" s="413"/>
      <c r="AC287" s="413"/>
      <c r="AD287" s="413"/>
      <c r="AE287" s="413"/>
      <c r="AF287" s="413"/>
      <c r="AG287" s="413"/>
      <c r="AH287" s="413"/>
      <c r="AI287" s="413"/>
      <c r="AJ287" s="413"/>
      <c r="AK287" s="413"/>
      <c r="AL287" s="413"/>
      <c r="AM287" s="572"/>
      <c r="AN287" s="351" t="s">
        <v>47</v>
      </c>
      <c r="AO287" s="351" t="str">
        <f t="shared" si="1419"/>
        <v>Medportal.ru</v>
      </c>
      <c r="AP287" s="115">
        <f t="shared" si="1544"/>
        <v>6</v>
      </c>
      <c r="AQ287" s="31">
        <f t="shared" ca="1" si="1652"/>
        <v>0.5</v>
      </c>
      <c r="AR287" s="31" t="str">
        <f t="shared" ca="1" si="1652"/>
        <v>-</v>
      </c>
      <c r="AS287" s="34">
        <v>0</v>
      </c>
      <c r="AT287" s="229">
        <v>0</v>
      </c>
      <c r="AU287" s="344">
        <f ca="1">HLOOKUP(AU$10,INDIRECT(LOWER($AN287)&amp;"Price"),$BW287,FALSE)</f>
        <v>400</v>
      </c>
      <c r="AV287" s="345">
        <f ca="1">IF(ISERROR($BG287/$BI287),$AU287,$BG287/$BI287)</f>
        <v>400</v>
      </c>
      <c r="AW287" s="346">
        <f ca="1">$AV287*(1-$BE287)</f>
        <v>400</v>
      </c>
      <c r="AX287" s="280"/>
      <c r="AY287" s="280"/>
      <c r="AZ287" s="347">
        <f ca="1">HLOOKUP(AZ$10,INDIRECT(LOWER($AN287)&amp;"Price"),$BW287,FALSE)</f>
        <v>100000</v>
      </c>
      <c r="BA287" s="348">
        <f ca="1">$AZ287*(1-$BE287)</f>
        <v>100000</v>
      </c>
      <c r="BB287" s="347">
        <f t="shared" ca="1" si="1653"/>
        <v>250</v>
      </c>
      <c r="BC287" s="37" t="str">
        <f t="shared" ca="1" si="1653"/>
        <v>Пакет</v>
      </c>
      <c r="BD287" s="229" t="str">
        <f ca="1">IF(ISERROR(VLOOKUP($BC287,typeIndexPair,2,FALSE)),"",VLOOKUP($BC287,typeIndexPair,2,FALSE))</f>
        <v>Пакет</v>
      </c>
      <c r="BE287" s="283">
        <f t="shared" ca="1" si="1420"/>
        <v>0</v>
      </c>
      <c r="BF287" s="347">
        <f t="array" aca="1" ref="BF287" ca="1">SUM($K287:$V287*$BK287:$BV287)*$AZ287</f>
        <v>0</v>
      </c>
      <c r="BG287" s="347">
        <f t="array" aca="1" ref="BG287" ca="1">SUM($K287:$V287*$BY287:$CJ287*$BK287:$BV287)*$AZ287*$BX287</f>
        <v>0</v>
      </c>
      <c r="BH287" s="347">
        <f t="array" aca="1" ref="BH287" ca="1">SUM($K287:$V287*$BY287:$CJ287*$BK287:$BV287)*(1-$BE287)*$AZ287*$BX287</f>
        <v>0</v>
      </c>
      <c r="BI287" s="350">
        <f ca="1">SUM($K287:$V287)*$BB287</f>
        <v>0</v>
      </c>
      <c r="BJ287" s="275" t="str">
        <f ca="1">IF(ISERROR(HLOOKUP(BJ$10,INDIRECT(LOWER($AN287)&amp;"Price"),$BW287,FALSE)),"Да",HLOOKUP(BJ$10,INDIRECT(LOWER($AN287)&amp;"Price"),$BW287,FALSE))</f>
        <v>Да</v>
      </c>
      <c r="BK287" s="116">
        <f t="shared" ca="1" si="1654"/>
        <v>0.8</v>
      </c>
      <c r="BL287" s="117">
        <f t="shared" ca="1" si="1654"/>
        <v>0.9</v>
      </c>
      <c r="BM287" s="117">
        <f t="shared" ca="1" si="1654"/>
        <v>1</v>
      </c>
      <c r="BN287" s="117">
        <f t="shared" ca="1" si="1654"/>
        <v>1</v>
      </c>
      <c r="BO287" s="117">
        <f t="shared" ca="1" si="1654"/>
        <v>1</v>
      </c>
      <c r="BP287" s="117">
        <f t="shared" ca="1" si="1654"/>
        <v>1</v>
      </c>
      <c r="BQ287" s="117">
        <f t="shared" ca="1" si="1654"/>
        <v>0.9</v>
      </c>
      <c r="BR287" s="117">
        <f t="shared" ca="1" si="1654"/>
        <v>0.9</v>
      </c>
      <c r="BS287" s="117">
        <f t="shared" ca="1" si="1654"/>
        <v>1.3</v>
      </c>
      <c r="BT287" s="117">
        <f t="shared" ca="1" si="1654"/>
        <v>1.3</v>
      </c>
      <c r="BU287" s="117">
        <f t="shared" ca="1" si="1654"/>
        <v>1.3</v>
      </c>
      <c r="BV287" s="278">
        <f t="shared" ca="1" si="1654"/>
        <v>1.3</v>
      </c>
      <c r="BW287" s="280">
        <f t="shared" si="1421"/>
        <v>4</v>
      </c>
      <c r="BX287" s="118">
        <f>IF($AN287="Ya",100%,100%+extraDelayZ)</f>
        <v>1</v>
      </c>
      <c r="BY287" s="263">
        <f t="shared" ref="BY287" si="1668">(1+AA287)</f>
        <v>1</v>
      </c>
      <c r="BZ287" s="264">
        <f t="shared" ref="BZ287" si="1669">(1+AB287)</f>
        <v>1</v>
      </c>
      <c r="CA287" s="264">
        <f t="shared" ref="CA287" si="1670">(1+AC287)</f>
        <v>1</v>
      </c>
      <c r="CB287" s="264">
        <f t="shared" ref="CB287" si="1671">(1+AD287)</f>
        <v>1</v>
      </c>
      <c r="CC287" s="264">
        <f t="shared" ref="CC287" si="1672">(1+AE287)</f>
        <v>1</v>
      </c>
      <c r="CD287" s="264">
        <f t="shared" ref="CD287" si="1673">(1+AF287)</f>
        <v>1</v>
      </c>
      <c r="CE287" s="264">
        <f t="shared" ref="CE287" si="1674">(1+AG287)</f>
        <v>1</v>
      </c>
      <c r="CF287" s="264">
        <f t="shared" ref="CF287" si="1675">(1+AH287)</f>
        <v>1</v>
      </c>
      <c r="CG287" s="264">
        <f t="shared" ref="CG287" si="1676">(1+AI287)</f>
        <v>1</v>
      </c>
      <c r="CH287" s="264">
        <f t="shared" ref="CH287" si="1677">(1+AJ287)</f>
        <v>1</v>
      </c>
      <c r="CI287" s="264">
        <f t="shared" ref="CI287" si="1678">(1+AK287)</f>
        <v>1</v>
      </c>
      <c r="CJ287" s="265">
        <f t="shared" ref="CJ287" si="1679">(1+AL287)</f>
        <v>1</v>
      </c>
      <c r="CK287" s="269">
        <f t="array" ref="CK287">IF(ISERROR(SUM($K287:$V287*$BY287:$CJ287)/SUM($K287:$V287)),1,SUM($K287:$V287*$BY287:$CJ287)/SUM($K287:$V287))-1</f>
        <v>0</v>
      </c>
      <c r="CL287" s="234"/>
    </row>
    <row r="288" spans="1:90" ht="12.75" hidden="1" outlineLevel="1" x14ac:dyDescent="0.2">
      <c r="B288" s="404" t="str">
        <f ca="1">INDEX(INDIRECT(LOWER($AN288)&amp;"Price"),$BW288,2)</f>
        <v>Пакет "МЕДПОРТАЛ + ДОКТОР", 240х400</v>
      </c>
      <c r="C288" s="649" t="str">
        <f t="shared" ca="1" si="1648"/>
        <v>Пакет</v>
      </c>
      <c r="D288" s="405">
        <f ca="1">$AU288</f>
        <v>500</v>
      </c>
      <c r="E288" s="405">
        <f ca="1">$AV288</f>
        <v>500</v>
      </c>
      <c r="F288" s="405">
        <f ca="1">$AW288</f>
        <v>500</v>
      </c>
      <c r="G288" s="406">
        <f ca="1">$AZ288</f>
        <v>250000</v>
      </c>
      <c r="H288" s="406">
        <f ca="1">$BA288</f>
        <v>250000</v>
      </c>
      <c r="I288" s="406">
        <f t="shared" ca="1" si="1649"/>
        <v>0</v>
      </c>
      <c r="J288" s="407">
        <f t="shared" ca="1" si="1650"/>
        <v>0</v>
      </c>
      <c r="K288" s="408"/>
      <c r="L288" s="409"/>
      <c r="M288" s="409"/>
      <c r="N288" s="409"/>
      <c r="O288" s="409"/>
      <c r="P288" s="409"/>
      <c r="Q288" s="409"/>
      <c r="R288" s="409"/>
      <c r="S288" s="409"/>
      <c r="T288" s="409"/>
      <c r="U288" s="409"/>
      <c r="V288" s="410"/>
      <c r="W288" s="406">
        <f t="shared" ca="1" si="1394"/>
        <v>0</v>
      </c>
      <c r="X288" s="406"/>
      <c r="Y288" s="411"/>
      <c r="Z288" s="412">
        <f t="shared" si="1651"/>
        <v>0</v>
      </c>
      <c r="AA288" s="413"/>
      <c r="AB288" s="413"/>
      <c r="AC288" s="413"/>
      <c r="AD288" s="413"/>
      <c r="AE288" s="413"/>
      <c r="AF288" s="413"/>
      <c r="AG288" s="413"/>
      <c r="AH288" s="413"/>
      <c r="AI288" s="413"/>
      <c r="AJ288" s="413"/>
      <c r="AK288" s="413"/>
      <c r="AL288" s="413"/>
      <c r="AM288" s="572"/>
      <c r="AN288" s="351" t="s">
        <v>47</v>
      </c>
      <c r="AO288" s="351" t="str">
        <f t="shared" si="1419"/>
        <v>Medportal.ru</v>
      </c>
      <c r="AP288" s="115">
        <f t="shared" si="1544"/>
        <v>6</v>
      </c>
      <c r="AQ288" s="31">
        <f t="shared" ca="1" si="1652"/>
        <v>0.5</v>
      </c>
      <c r="AR288" s="31" t="str">
        <f t="shared" ca="1" si="1652"/>
        <v>-</v>
      </c>
      <c r="AS288" s="34">
        <v>0</v>
      </c>
      <c r="AT288" s="229">
        <v>0</v>
      </c>
      <c r="AU288" s="344">
        <f ca="1">HLOOKUP(AU$10,INDIRECT(LOWER($AN288)&amp;"Price"),$BW288,FALSE)</f>
        <v>500</v>
      </c>
      <c r="AV288" s="345">
        <f ca="1">IF(ISERROR($BG288/$BI288),$AU288,$BG288/$BI288)</f>
        <v>500</v>
      </c>
      <c r="AW288" s="346">
        <f ca="1">$AV288*(1-$BE288)</f>
        <v>500</v>
      </c>
      <c r="AX288" s="280"/>
      <c r="AY288" s="280"/>
      <c r="AZ288" s="347">
        <f ca="1">HLOOKUP(AZ$10,INDIRECT(LOWER($AN288)&amp;"Price"),$BW288,FALSE)</f>
        <v>250000</v>
      </c>
      <c r="BA288" s="348">
        <f ca="1">$AZ288*(1-$BE288)</f>
        <v>250000</v>
      </c>
      <c r="BB288" s="347">
        <f t="shared" ca="1" si="1653"/>
        <v>500</v>
      </c>
      <c r="BC288" s="37" t="str">
        <f t="shared" ca="1" si="1653"/>
        <v>Пакет</v>
      </c>
      <c r="BD288" s="229" t="str">
        <f ca="1">IF(ISERROR(VLOOKUP($BC288,typeIndexPair,2,FALSE)),"",VLOOKUP($BC288,typeIndexPair,2,FALSE))</f>
        <v>Пакет</v>
      </c>
      <c r="BE288" s="283">
        <f t="shared" ca="1" si="1420"/>
        <v>0</v>
      </c>
      <c r="BF288" s="347">
        <f t="array" aca="1" ref="BF288" ca="1">SUM($K288:$V288*$BK288:$BV288)*$AZ288</f>
        <v>0</v>
      </c>
      <c r="BG288" s="347">
        <f t="array" aca="1" ref="BG288" ca="1">SUM($K288:$V288*$BY288:$CJ288*$BK288:$BV288)*$AZ288*$BX288</f>
        <v>0</v>
      </c>
      <c r="BH288" s="347">
        <f t="array" aca="1" ref="BH288" ca="1">SUM($K288:$V288*$BY288:$CJ288*$BK288:$BV288)*(1-$BE288)*$AZ288*$BX288</f>
        <v>0</v>
      </c>
      <c r="BI288" s="350">
        <f ca="1">SUM($K288:$V288)*$BB288</f>
        <v>0</v>
      </c>
      <c r="BJ288" s="275" t="str">
        <f ca="1">IF(ISERROR(HLOOKUP(BJ$10,INDIRECT(LOWER($AN288)&amp;"Price"),$BW288,FALSE)),"Да",HLOOKUP(BJ$10,INDIRECT(LOWER($AN288)&amp;"Price"),$BW288,FALSE))</f>
        <v>Да</v>
      </c>
      <c r="BK288" s="116">
        <f t="shared" ca="1" si="1654"/>
        <v>0.8</v>
      </c>
      <c r="BL288" s="117">
        <f t="shared" ca="1" si="1654"/>
        <v>0.9</v>
      </c>
      <c r="BM288" s="117">
        <f t="shared" ca="1" si="1654"/>
        <v>1</v>
      </c>
      <c r="BN288" s="117">
        <f t="shared" ca="1" si="1654"/>
        <v>1</v>
      </c>
      <c r="BO288" s="117">
        <f t="shared" ca="1" si="1654"/>
        <v>1</v>
      </c>
      <c r="BP288" s="117">
        <f t="shared" ca="1" si="1654"/>
        <v>1</v>
      </c>
      <c r="BQ288" s="117">
        <f t="shared" ca="1" si="1654"/>
        <v>0.9</v>
      </c>
      <c r="BR288" s="117">
        <f t="shared" ca="1" si="1654"/>
        <v>0.9</v>
      </c>
      <c r="BS288" s="117">
        <f t="shared" ca="1" si="1654"/>
        <v>1.3</v>
      </c>
      <c r="BT288" s="117">
        <f t="shared" ca="1" si="1654"/>
        <v>1.3</v>
      </c>
      <c r="BU288" s="117">
        <f t="shared" ca="1" si="1654"/>
        <v>1.3</v>
      </c>
      <c r="BV288" s="278">
        <f t="shared" ca="1" si="1654"/>
        <v>1.3</v>
      </c>
      <c r="BW288" s="280">
        <f t="shared" si="1421"/>
        <v>5</v>
      </c>
      <c r="BX288" s="118">
        <f>IF($AN288="Ya",100%,100%+extraDelayZ)</f>
        <v>1</v>
      </c>
      <c r="BY288" s="263">
        <f t="shared" si="1655"/>
        <v>1</v>
      </c>
      <c r="BZ288" s="264">
        <f t="shared" si="1656"/>
        <v>1</v>
      </c>
      <c r="CA288" s="264">
        <f t="shared" si="1657"/>
        <v>1</v>
      </c>
      <c r="CB288" s="264">
        <f t="shared" si="1658"/>
        <v>1</v>
      </c>
      <c r="CC288" s="264">
        <f t="shared" si="1659"/>
        <v>1</v>
      </c>
      <c r="CD288" s="264">
        <f t="shared" si="1660"/>
        <v>1</v>
      </c>
      <c r="CE288" s="264">
        <f t="shared" si="1661"/>
        <v>1</v>
      </c>
      <c r="CF288" s="264">
        <f t="shared" si="1662"/>
        <v>1</v>
      </c>
      <c r="CG288" s="264">
        <f t="shared" si="1663"/>
        <v>1</v>
      </c>
      <c r="CH288" s="264">
        <f t="shared" si="1664"/>
        <v>1</v>
      </c>
      <c r="CI288" s="264">
        <f t="shared" si="1665"/>
        <v>1</v>
      </c>
      <c r="CJ288" s="265">
        <f t="shared" si="1666"/>
        <v>1</v>
      </c>
      <c r="CK288" s="269">
        <f t="array" ref="CK288">IF(ISERROR(SUM($K288:$V288*$BY288:$CJ288)/SUM($K288:$V288)),1,SUM($K288:$V288*$BY288:$CJ288)/SUM($K288:$V288))-1</f>
        <v>0</v>
      </c>
      <c r="CL288" s="234"/>
    </row>
    <row r="289" spans="1:90" ht="12.75" hidden="1" outlineLevel="1" x14ac:dyDescent="0.2">
      <c r="B289" s="414" t="str">
        <f ca="1">INDEX(INDIRECT(LOWER($AN289)&amp;"Price"),$BW289,2)</f>
        <v>Все страницы Medportal.ru, Doktor.ru, 240х400</v>
      </c>
      <c r="C289" s="649" t="str">
        <f t="shared" ca="1" si="1648"/>
        <v>х1000</v>
      </c>
      <c r="D289" s="415">
        <f ca="1">$AU289</f>
        <v>600</v>
      </c>
      <c r="E289" s="415">
        <f ca="1">$AV289</f>
        <v>600</v>
      </c>
      <c r="F289" s="415">
        <f ca="1">$AW289</f>
        <v>600</v>
      </c>
      <c r="G289" s="416">
        <f ca="1">$AZ289</f>
        <v>600</v>
      </c>
      <c r="H289" s="416">
        <f ca="1">$BA289</f>
        <v>600</v>
      </c>
      <c r="I289" s="406">
        <f t="shared" ca="1" si="1649"/>
        <v>0</v>
      </c>
      <c r="J289" s="407">
        <f t="shared" ca="1" si="1650"/>
        <v>0</v>
      </c>
      <c r="K289" s="417"/>
      <c r="L289" s="418"/>
      <c r="M289" s="418"/>
      <c r="N289" s="418"/>
      <c r="O289" s="418"/>
      <c r="P289" s="418"/>
      <c r="Q289" s="418"/>
      <c r="R289" s="418"/>
      <c r="S289" s="418"/>
      <c r="T289" s="418"/>
      <c r="U289" s="418"/>
      <c r="V289" s="419"/>
      <c r="W289" s="416">
        <f t="shared" ca="1" si="1394"/>
        <v>0</v>
      </c>
      <c r="X289" s="416"/>
      <c r="Y289" s="420"/>
      <c r="Z289" s="412">
        <f t="shared" si="1651"/>
        <v>0</v>
      </c>
      <c r="AA289" s="421"/>
      <c r="AB289" s="421"/>
      <c r="AC289" s="421"/>
      <c r="AD289" s="421"/>
      <c r="AE289" s="421"/>
      <c r="AF289" s="421"/>
      <c r="AG289" s="421"/>
      <c r="AH289" s="421"/>
      <c r="AI289" s="421"/>
      <c r="AJ289" s="421"/>
      <c r="AK289" s="421"/>
      <c r="AL289" s="421"/>
      <c r="AM289" s="573"/>
      <c r="AN289" s="351" t="s">
        <v>47</v>
      </c>
      <c r="AO289" s="351" t="str">
        <f t="shared" si="1419"/>
        <v>Medportal.ru</v>
      </c>
      <c r="AP289" s="115">
        <f t="shared" si="1544"/>
        <v>6</v>
      </c>
      <c r="AQ289" s="31">
        <f t="shared" ca="1" si="1652"/>
        <v>0.5</v>
      </c>
      <c r="AR289" s="31" t="str">
        <f t="shared" ca="1" si="1652"/>
        <v>-</v>
      </c>
      <c r="AS289" s="35">
        <v>0</v>
      </c>
      <c r="AT289" s="229">
        <v>0</v>
      </c>
      <c r="AU289" s="344">
        <f ca="1">HLOOKUP(AU$10,INDIRECT(LOWER($AN289)&amp;"Price"),$BW289,FALSE)</f>
        <v>600</v>
      </c>
      <c r="AV289" s="345">
        <f ca="1">IF(ISERROR($BG289/$BI289),$AU289,$BG289/$BI289)</f>
        <v>600</v>
      </c>
      <c r="AW289" s="346">
        <f ca="1">$AV289*(1-$BE289)</f>
        <v>600</v>
      </c>
      <c r="AX289" s="280"/>
      <c r="AY289" s="280"/>
      <c r="AZ289" s="347">
        <f ca="1">HLOOKUP(AZ$10,INDIRECT(LOWER($AN289)&amp;"Price"),$BW289,FALSE)</f>
        <v>600</v>
      </c>
      <c r="BA289" s="348">
        <f ca="1">$AZ289*(1-$BE289)</f>
        <v>600</v>
      </c>
      <c r="BB289" s="347">
        <f t="shared" ca="1" si="1653"/>
        <v>1</v>
      </c>
      <c r="BC289" s="37" t="str">
        <f t="shared" ca="1" si="1653"/>
        <v>1000 контактов</v>
      </c>
      <c r="BD289" s="229" t="str">
        <f ca="1">IF(ISERROR(VLOOKUP($BC289,typeIndexPair,2,FALSE)),"",VLOOKUP($BC289,typeIndexPair,2,FALSE))</f>
        <v>х1000</v>
      </c>
      <c r="BE289" s="283">
        <f t="shared" ca="1" si="1420"/>
        <v>0</v>
      </c>
      <c r="BF289" s="347">
        <f t="array" aca="1" ref="BF289" ca="1">SUM($K289:$V289*$BK289:$BV289)*$AZ289</f>
        <v>0</v>
      </c>
      <c r="BG289" s="347">
        <f t="array" aca="1" ref="BG289" ca="1">SUM($K289:$V289*$BY289:$CJ289*$BK289:$BV289)*$AZ289*$BX289</f>
        <v>0</v>
      </c>
      <c r="BH289" s="347">
        <f t="array" aca="1" ref="BH289" ca="1">SUM($K289:$V289*$BY289:$CJ289*$BK289:$BV289)*(1-$BE289)*$AZ289*$BX289</f>
        <v>0</v>
      </c>
      <c r="BI289" s="350">
        <f ca="1">SUM($K289:$V289)*$BB289</f>
        <v>0</v>
      </c>
      <c r="BJ289" s="275" t="str">
        <f ca="1">IF(ISERROR(HLOOKUP(BJ$10,INDIRECT(LOWER($AN289)&amp;"Price"),$BW289,FALSE)),"Да",HLOOKUP(BJ$10,INDIRECT(LOWER($AN289)&amp;"Price"),$BW289,FALSE))</f>
        <v>Да</v>
      </c>
      <c r="BK289" s="116">
        <f t="shared" ca="1" si="1654"/>
        <v>0.8</v>
      </c>
      <c r="BL289" s="117">
        <f t="shared" ca="1" si="1654"/>
        <v>0.9</v>
      </c>
      <c r="BM289" s="117">
        <f t="shared" ca="1" si="1654"/>
        <v>1</v>
      </c>
      <c r="BN289" s="117">
        <f t="shared" ca="1" si="1654"/>
        <v>1</v>
      </c>
      <c r="BO289" s="117">
        <f t="shared" ca="1" si="1654"/>
        <v>1</v>
      </c>
      <c r="BP289" s="117">
        <f t="shared" ca="1" si="1654"/>
        <v>1</v>
      </c>
      <c r="BQ289" s="117">
        <f t="shared" ca="1" si="1654"/>
        <v>0.9</v>
      </c>
      <c r="BR289" s="117">
        <f t="shared" ca="1" si="1654"/>
        <v>0.9</v>
      </c>
      <c r="BS289" s="117">
        <f t="shared" ca="1" si="1654"/>
        <v>1.3</v>
      </c>
      <c r="BT289" s="117">
        <f t="shared" ca="1" si="1654"/>
        <v>1.3</v>
      </c>
      <c r="BU289" s="117">
        <f t="shared" ca="1" si="1654"/>
        <v>1.3</v>
      </c>
      <c r="BV289" s="278">
        <f t="shared" ca="1" si="1654"/>
        <v>1.3</v>
      </c>
      <c r="BW289" s="280">
        <f t="shared" si="1421"/>
        <v>6</v>
      </c>
      <c r="BX289" s="118">
        <f>IF($AN289="Ya",100%,100%+extraDelayZ)</f>
        <v>1</v>
      </c>
      <c r="BY289" s="263">
        <f t="shared" si="1655"/>
        <v>1</v>
      </c>
      <c r="BZ289" s="264">
        <f t="shared" si="1656"/>
        <v>1</v>
      </c>
      <c r="CA289" s="264">
        <f t="shared" si="1657"/>
        <v>1</v>
      </c>
      <c r="CB289" s="264">
        <f t="shared" si="1658"/>
        <v>1</v>
      </c>
      <c r="CC289" s="264">
        <f t="shared" si="1659"/>
        <v>1</v>
      </c>
      <c r="CD289" s="264">
        <f t="shared" si="1660"/>
        <v>1</v>
      </c>
      <c r="CE289" s="264">
        <f t="shared" si="1661"/>
        <v>1</v>
      </c>
      <c r="CF289" s="264">
        <f t="shared" si="1662"/>
        <v>1</v>
      </c>
      <c r="CG289" s="264">
        <f t="shared" si="1663"/>
        <v>1</v>
      </c>
      <c r="CH289" s="264">
        <f t="shared" si="1664"/>
        <v>1</v>
      </c>
      <c r="CI289" s="264">
        <f t="shared" si="1665"/>
        <v>1</v>
      </c>
      <c r="CJ289" s="265">
        <f t="shared" si="1666"/>
        <v>1</v>
      </c>
      <c r="CK289" s="269">
        <f t="array" ref="CK289">IF(ISERROR(SUM($K289:$V289*$BY289:$CJ289)/SUM($K289:$V289)),1,SUM($K289:$V289*$BY289:$CJ289)/SUM($K289:$V289))-1</f>
        <v>0</v>
      </c>
      <c r="CL289" s="234"/>
    </row>
    <row r="290" spans="1:90" ht="15" collapsed="1" x14ac:dyDescent="0.2">
      <c r="A290" s="391"/>
      <c r="B290" s="392" t="str">
        <f>CONCATENATE($AO290,IF($AX290&gt;0,CONCATENATE("  (план ",TEXT(INDEX(indBudX,MATCH($AN290,indPrefixX,0)),"# ##0")," руб.)"),""))</f>
        <v>Tvidi.ru</v>
      </c>
      <c r="C290" s="650" t="s">
        <v>363</v>
      </c>
      <c r="D290" s="393"/>
      <c r="E290" s="394"/>
      <c r="F290" s="394"/>
      <c r="G290" s="395"/>
      <c r="H290" s="395"/>
      <c r="I290" s="395">
        <f t="shared" ca="1" si="1649"/>
        <v>0</v>
      </c>
      <c r="J290" s="396">
        <f ca="1">$BH290</f>
        <v>0</v>
      </c>
      <c r="K290" s="397"/>
      <c r="L290" s="398"/>
      <c r="M290" s="398"/>
      <c r="N290" s="398"/>
      <c r="O290" s="398"/>
      <c r="P290" s="398"/>
      <c r="Q290" s="398"/>
      <c r="R290" s="398"/>
      <c r="S290" s="398"/>
      <c r="T290" s="398"/>
      <c r="U290" s="398"/>
      <c r="V290" s="399"/>
      <c r="W290" s="395">
        <f t="shared" ca="1" si="1394"/>
        <v>0</v>
      </c>
      <c r="X290" s="576"/>
      <c r="Y290" s="400">
        <f ca="1">$BE290</f>
        <v>0</v>
      </c>
      <c r="Z290" s="401"/>
      <c r="AA290" s="402"/>
      <c r="AB290" s="402"/>
      <c r="AC290" s="402"/>
      <c r="AD290" s="402"/>
      <c r="AE290" s="402"/>
      <c r="AF290" s="402"/>
      <c r="AG290" s="402"/>
      <c r="AH290" s="402"/>
      <c r="AI290" s="402"/>
      <c r="AJ290" s="402"/>
      <c r="AK290" s="402"/>
      <c r="AL290" s="402"/>
      <c r="AM290" s="403"/>
      <c r="AN290" s="130" t="s">
        <v>61</v>
      </c>
      <c r="AO290" s="130" t="str">
        <f t="shared" si="1419"/>
        <v>Tvidi.ru</v>
      </c>
      <c r="AP290" s="119">
        <f t="shared" si="1544"/>
        <v>7</v>
      </c>
      <c r="AQ290" s="120"/>
      <c r="AR290" s="120"/>
      <c r="AS290" s="121"/>
      <c r="AT290" s="228"/>
      <c r="AU290" s="232"/>
      <c r="AV290" s="179"/>
      <c r="AW290" s="233"/>
      <c r="AX290" s="279">
        <f>IF(ISERROR(INDEX(indBudX,MATCH($AN290,indPrefixX,0))),0,INDEX(indBudX,MATCH($AN290,indPrefixX,0)))</f>
        <v>0</v>
      </c>
      <c r="AY290" s="279">
        <f>IF(ISNUMBER($X290),$X290,0)</f>
        <v>0</v>
      </c>
      <c r="AZ290" s="123"/>
      <c r="BA290" s="125"/>
      <c r="BB290" s="123"/>
      <c r="BC290" s="124"/>
      <c r="BD290" s="464"/>
      <c r="BE290" s="282">
        <f t="shared" ca="1" si="1420"/>
        <v>0</v>
      </c>
      <c r="BF290" s="123">
        <f t="shared" ref="BF290:BI290" ca="1" si="1680">SUM(OFFSET(BF290,1,0,$AP290-1,1))</f>
        <v>0</v>
      </c>
      <c r="BG290" s="123">
        <f t="shared" ca="1" si="1680"/>
        <v>0</v>
      </c>
      <c r="BH290" s="123">
        <f t="shared" ca="1" si="1680"/>
        <v>0</v>
      </c>
      <c r="BI290" s="273">
        <f t="shared" ca="1" si="1680"/>
        <v>0</v>
      </c>
      <c r="BJ290" s="274"/>
      <c r="BK290" s="126"/>
      <c r="BL290" s="127"/>
      <c r="BM290" s="127"/>
      <c r="BN290" s="127"/>
      <c r="BO290" s="127"/>
      <c r="BP290" s="127"/>
      <c r="BQ290" s="127"/>
      <c r="BR290" s="127"/>
      <c r="BS290" s="127"/>
      <c r="BT290" s="127"/>
      <c r="BU290" s="127"/>
      <c r="BV290" s="277"/>
      <c r="BW290" s="279">
        <f t="shared" si="1421"/>
        <v>1</v>
      </c>
      <c r="BX290" s="128"/>
      <c r="BY290" s="260"/>
      <c r="BZ290" s="261"/>
      <c r="CA290" s="261"/>
      <c r="CB290" s="261"/>
      <c r="CC290" s="261"/>
      <c r="CD290" s="261"/>
      <c r="CE290" s="261"/>
      <c r="CF290" s="261"/>
      <c r="CG290" s="261"/>
      <c r="CH290" s="261"/>
      <c r="CI290" s="261"/>
      <c r="CJ290" s="262"/>
      <c r="CK290" s="270"/>
      <c r="CL290" s="234"/>
    </row>
    <row r="291" spans="1:90" ht="12.75" hidden="1" outlineLevel="1" x14ac:dyDescent="0.2">
      <c r="B291" s="404" t="str">
        <f t="shared" ref="B291:B303" ca="1" si="1681">INDEX(INDIRECT(LOWER($AN291)&amp;"Price"),$BW291,2)</f>
        <v>Пакет "Охват 500К", 240х400</v>
      </c>
      <c r="C291" s="649" t="str">
        <f t="shared" ref="C291:C303" ca="1" si="1682">$BD291</f>
        <v>Пакет</v>
      </c>
      <c r="D291" s="405">
        <f t="shared" ref="D291:D303" ca="1" si="1683">$AU291</f>
        <v>500</v>
      </c>
      <c r="E291" s="405">
        <f t="shared" ref="E291:E303" ca="1" si="1684">$AV291</f>
        <v>500</v>
      </c>
      <c r="F291" s="405">
        <f t="shared" ref="F291:F303" ca="1" si="1685">$AW291</f>
        <v>500</v>
      </c>
      <c r="G291" s="406">
        <f t="shared" ref="G291:G303" ca="1" si="1686">$AZ291</f>
        <v>250000</v>
      </c>
      <c r="H291" s="406">
        <f t="shared" ref="H291:H303" ca="1" si="1687">$BA291</f>
        <v>250000</v>
      </c>
      <c r="I291" s="406">
        <f t="shared" ref="I291:I304" ca="1" si="1688">$BG291</f>
        <v>0</v>
      </c>
      <c r="J291" s="407">
        <f t="shared" ref="J291:J303" ca="1" si="1689">$BH291</f>
        <v>0</v>
      </c>
      <c r="K291" s="408"/>
      <c r="L291" s="409"/>
      <c r="M291" s="409"/>
      <c r="N291" s="409"/>
      <c r="O291" s="409"/>
      <c r="P291" s="409"/>
      <c r="Q291" s="409"/>
      <c r="R291" s="409"/>
      <c r="S291" s="409"/>
      <c r="T291" s="409"/>
      <c r="U291" s="409"/>
      <c r="V291" s="410"/>
      <c r="W291" s="406">
        <f t="shared" ca="1" si="1394"/>
        <v>0</v>
      </c>
      <c r="X291" s="406"/>
      <c r="Y291" s="411"/>
      <c r="Z291" s="412">
        <f t="shared" ref="Z291:Z296" si="1690">CK291</f>
        <v>0</v>
      </c>
      <c r="AA291" s="413"/>
      <c r="AB291" s="413"/>
      <c r="AC291" s="413"/>
      <c r="AD291" s="413"/>
      <c r="AE291" s="413"/>
      <c r="AF291" s="413"/>
      <c r="AG291" s="413"/>
      <c r="AH291" s="413"/>
      <c r="AI291" s="413"/>
      <c r="AJ291" s="413"/>
      <c r="AK291" s="413"/>
      <c r="AL291" s="413"/>
      <c r="AM291" s="572"/>
      <c r="AN291" s="351" t="s">
        <v>61</v>
      </c>
      <c r="AO291" s="351" t="str">
        <f t="shared" si="1419"/>
        <v>Tvidi.ru</v>
      </c>
      <c r="AP291" s="115">
        <f t="shared" si="1544"/>
        <v>7</v>
      </c>
      <c r="AQ291" s="31">
        <f t="shared" ref="AQ291:AR303" ca="1" si="1691">HLOOKUP(AQ$10,INDIRECT(LOWER($AN291)&amp;"Price"),$BW291,FALSE)</f>
        <v>0.15</v>
      </c>
      <c r="AR291" s="31">
        <f t="shared" ca="1" si="1691"/>
        <v>0.15</v>
      </c>
      <c r="AS291" s="35">
        <v>0</v>
      </c>
      <c r="AT291" s="229">
        <v>0</v>
      </c>
      <c r="AU291" s="344">
        <f t="shared" ref="AU291:AU303" ca="1" si="1692">HLOOKUP(AU$10,INDIRECT(LOWER($AN291)&amp;"Price"),$BW291,FALSE)</f>
        <v>500</v>
      </c>
      <c r="AV291" s="345">
        <f t="shared" ref="AV291:AV303" ca="1" si="1693">IF(ISERROR($BG291/$BI291),$AU291,$BG291/$BI291)</f>
        <v>500</v>
      </c>
      <c r="AW291" s="346">
        <f t="shared" ref="AW291:AW303" ca="1" si="1694">$AV291*(1-$BE291)</f>
        <v>500</v>
      </c>
      <c r="AX291" s="280"/>
      <c r="AY291" s="280"/>
      <c r="AZ291" s="347">
        <f t="shared" ref="AZ291:AZ303" ca="1" si="1695">HLOOKUP(AZ$10,INDIRECT(LOWER($AN291)&amp;"Price"),$BW291,FALSE)</f>
        <v>250000</v>
      </c>
      <c r="BA291" s="348">
        <f t="shared" ref="BA291:BA303" ca="1" si="1696">$AZ291*(1-$BE291)</f>
        <v>250000</v>
      </c>
      <c r="BB291" s="347">
        <f t="shared" ref="BB291:BC303" ca="1" si="1697">HLOOKUP(BB$10,INDIRECT(LOWER($AN291)&amp;"Price"),$BW291,FALSE)</f>
        <v>500</v>
      </c>
      <c r="BC291" s="37" t="str">
        <f t="shared" ca="1" si="1697"/>
        <v>Пакет</v>
      </c>
      <c r="BD291" s="229" t="str">
        <f t="shared" ref="BD291:BD303" ca="1" si="1698">IF(ISERROR(VLOOKUP($BC291,typeIndexPair,2,FALSE)),"",VLOOKUP($BC291,typeIndexPair,2,FALSE))</f>
        <v>Пакет</v>
      </c>
      <c r="BE291" s="283">
        <f t="shared" ca="1" si="1420"/>
        <v>0</v>
      </c>
      <c r="BF291" s="347">
        <f t="array" aca="1" ref="BF291" ca="1">SUM($K291:$V291*$BK291:$BV291)*$AZ291</f>
        <v>0</v>
      </c>
      <c r="BG291" s="347">
        <f t="array" aca="1" ref="BG291" ca="1">SUM($K291:$V291*$BY291:$CJ291*$BK291:$BV291)*$AZ291*$BX291</f>
        <v>0</v>
      </c>
      <c r="BH291" s="347">
        <f t="array" aca="1" ref="BH291" ca="1">SUM($K291:$V291*$BY291:$CJ291*$BK291:$BV291)*(1-$BE291)*$AZ291*$BX291</f>
        <v>0</v>
      </c>
      <c r="BI291" s="350">
        <f t="shared" ref="BI291:BI303" ca="1" si="1699">SUM($K291:$V291)*$BB291</f>
        <v>0</v>
      </c>
      <c r="BJ291" s="275" t="str">
        <f t="shared" ref="BJ291:BJ303" ca="1" si="1700">IF(ISERROR(HLOOKUP(BJ$10,INDIRECT(LOWER($AN291)&amp;"Price"),$BW291,FALSE)),"Да",HLOOKUP(BJ$10,INDIRECT(LOWER($AN291)&amp;"Price"),$BW291,FALSE))</f>
        <v>Да</v>
      </c>
      <c r="BK291" s="116">
        <f t="shared" ref="BK291:BV303" ca="1" si="1701">IF($BJ291="Особ.",INDEX(INDIRECT(LOWER($AN291)&amp;"Season2"),BK$9),IF($BJ291="Да",INDEX(INDIRECT(LOWER($AN291)&amp;"Season"),BK$9),100%))</f>
        <v>0.8</v>
      </c>
      <c r="BL291" s="117">
        <f t="shared" ca="1" si="1701"/>
        <v>0.9</v>
      </c>
      <c r="BM291" s="117">
        <f t="shared" ca="1" si="1701"/>
        <v>1</v>
      </c>
      <c r="BN291" s="117">
        <f t="shared" ca="1" si="1701"/>
        <v>1</v>
      </c>
      <c r="BO291" s="117">
        <f t="shared" ca="1" si="1701"/>
        <v>1</v>
      </c>
      <c r="BP291" s="117">
        <f t="shared" ca="1" si="1701"/>
        <v>1</v>
      </c>
      <c r="BQ291" s="117">
        <f t="shared" ca="1" si="1701"/>
        <v>0.9</v>
      </c>
      <c r="BR291" s="117">
        <f t="shared" ca="1" si="1701"/>
        <v>0.9</v>
      </c>
      <c r="BS291" s="117">
        <f t="shared" ca="1" si="1701"/>
        <v>1.3</v>
      </c>
      <c r="BT291" s="117">
        <f t="shared" ca="1" si="1701"/>
        <v>1.3</v>
      </c>
      <c r="BU291" s="117">
        <f t="shared" ca="1" si="1701"/>
        <v>1.3</v>
      </c>
      <c r="BV291" s="278">
        <f t="shared" ca="1" si="1701"/>
        <v>1.3</v>
      </c>
      <c r="BW291" s="280">
        <f t="shared" si="1421"/>
        <v>2</v>
      </c>
      <c r="BX291" s="118">
        <f>IF($AN291="Ya",100%,100%+extraDelayZ)</f>
        <v>1</v>
      </c>
      <c r="BY291" s="263">
        <f t="shared" ref="BY291:BY296" si="1702">(1+AA291)</f>
        <v>1</v>
      </c>
      <c r="BZ291" s="264">
        <f t="shared" ref="BZ291:BZ296" si="1703">(1+AB291)</f>
        <v>1</v>
      </c>
      <c r="CA291" s="264">
        <f t="shared" ref="CA291:CA296" si="1704">(1+AC291)</f>
        <v>1</v>
      </c>
      <c r="CB291" s="264">
        <f t="shared" ref="CB291:CB296" si="1705">(1+AD291)</f>
        <v>1</v>
      </c>
      <c r="CC291" s="264">
        <f t="shared" ref="CC291:CC296" si="1706">(1+AE291)</f>
        <v>1</v>
      </c>
      <c r="CD291" s="264">
        <f t="shared" ref="CD291:CD296" si="1707">(1+AF291)</f>
        <v>1</v>
      </c>
      <c r="CE291" s="264">
        <f t="shared" ref="CE291:CE296" si="1708">(1+AG291)</f>
        <v>1</v>
      </c>
      <c r="CF291" s="264">
        <f t="shared" ref="CF291:CF296" si="1709">(1+AH291)</f>
        <v>1</v>
      </c>
      <c r="CG291" s="264">
        <f t="shared" ref="CG291:CG296" si="1710">(1+AI291)</f>
        <v>1</v>
      </c>
      <c r="CH291" s="264">
        <f t="shared" ref="CH291:CH296" si="1711">(1+AJ291)</f>
        <v>1</v>
      </c>
      <c r="CI291" s="264">
        <f t="shared" ref="CI291:CI296" si="1712">(1+AK291)</f>
        <v>1</v>
      </c>
      <c r="CJ291" s="265">
        <f t="shared" ref="CJ291:CJ296" si="1713">(1+AL291)</f>
        <v>1</v>
      </c>
      <c r="CK291" s="269">
        <f t="array" ref="CK291">IF(ISERROR(SUM($K291:$V291*$BY291:$CJ291)/SUM($K291:$V291)),1,SUM($K291:$V291*$BY291:$CJ291)/SUM($K291:$V291))-1</f>
        <v>0</v>
      </c>
      <c r="CL291" s="234"/>
    </row>
    <row r="292" spans="1:90" ht="12.75" hidden="1" outlineLevel="1" x14ac:dyDescent="0.2">
      <c r="B292" s="404" t="str">
        <f t="shared" ca="1" si="1681"/>
        <v>Пакет "Охват 500К", 728х90</v>
      </c>
      <c r="C292" s="649" t="str">
        <f t="shared" ca="1" si="1682"/>
        <v>Пакет</v>
      </c>
      <c r="D292" s="405">
        <f t="shared" ca="1" si="1683"/>
        <v>450</v>
      </c>
      <c r="E292" s="405">
        <f t="shared" ca="1" si="1684"/>
        <v>450</v>
      </c>
      <c r="F292" s="405">
        <f t="shared" ca="1" si="1685"/>
        <v>450</v>
      </c>
      <c r="G292" s="406">
        <f t="shared" ca="1" si="1686"/>
        <v>225000</v>
      </c>
      <c r="H292" s="406">
        <f t="shared" ca="1" si="1687"/>
        <v>225000</v>
      </c>
      <c r="I292" s="406">
        <f t="shared" ca="1" si="1688"/>
        <v>0</v>
      </c>
      <c r="J292" s="407">
        <f t="shared" ca="1" si="1689"/>
        <v>0</v>
      </c>
      <c r="K292" s="408"/>
      <c r="L292" s="409"/>
      <c r="M292" s="409"/>
      <c r="N292" s="409"/>
      <c r="O292" s="409"/>
      <c r="P292" s="409"/>
      <c r="Q292" s="409"/>
      <c r="R292" s="409"/>
      <c r="S292" s="409"/>
      <c r="T292" s="409"/>
      <c r="U292" s="409"/>
      <c r="V292" s="410"/>
      <c r="W292" s="406">
        <f t="shared" ca="1" si="1394"/>
        <v>0</v>
      </c>
      <c r="X292" s="406"/>
      <c r="Y292" s="411"/>
      <c r="Z292" s="412">
        <f t="shared" si="1690"/>
        <v>0</v>
      </c>
      <c r="AA292" s="413"/>
      <c r="AB292" s="413"/>
      <c r="AC292" s="413"/>
      <c r="AD292" s="413"/>
      <c r="AE292" s="413"/>
      <c r="AF292" s="413"/>
      <c r="AG292" s="413"/>
      <c r="AH292" s="413"/>
      <c r="AI292" s="413"/>
      <c r="AJ292" s="413"/>
      <c r="AK292" s="413"/>
      <c r="AL292" s="413"/>
      <c r="AM292" s="572"/>
      <c r="AN292" s="351" t="s">
        <v>61</v>
      </c>
      <c r="AO292" s="351" t="str">
        <f t="shared" si="1419"/>
        <v>Tvidi.ru</v>
      </c>
      <c r="AP292" s="115">
        <f t="shared" si="1544"/>
        <v>7</v>
      </c>
      <c r="AQ292" s="31">
        <f t="shared" ca="1" si="1691"/>
        <v>0.15</v>
      </c>
      <c r="AR292" s="31">
        <f t="shared" ca="1" si="1691"/>
        <v>0.15</v>
      </c>
      <c r="AS292" s="35">
        <v>0</v>
      </c>
      <c r="AT292" s="229">
        <v>0</v>
      </c>
      <c r="AU292" s="344">
        <f t="shared" ca="1" si="1692"/>
        <v>450</v>
      </c>
      <c r="AV292" s="345">
        <f t="shared" ca="1" si="1693"/>
        <v>450</v>
      </c>
      <c r="AW292" s="346">
        <f t="shared" ca="1" si="1694"/>
        <v>450</v>
      </c>
      <c r="AX292" s="280"/>
      <c r="AY292" s="280"/>
      <c r="AZ292" s="347">
        <f t="shared" ca="1" si="1695"/>
        <v>225000</v>
      </c>
      <c r="BA292" s="348">
        <f t="shared" ca="1" si="1696"/>
        <v>225000</v>
      </c>
      <c r="BB292" s="347">
        <f t="shared" ca="1" si="1697"/>
        <v>500</v>
      </c>
      <c r="BC292" s="37" t="str">
        <f t="shared" ca="1" si="1697"/>
        <v>Пакет</v>
      </c>
      <c r="BD292" s="229" t="str">
        <f t="shared" ca="1" si="1698"/>
        <v>Пакет</v>
      </c>
      <c r="BE292" s="283">
        <f t="shared" ca="1" si="1420"/>
        <v>0</v>
      </c>
      <c r="BF292" s="347">
        <f t="array" aca="1" ref="BF292" ca="1">SUM($K292:$V292*$BK292:$BV292)*$AZ292</f>
        <v>0</v>
      </c>
      <c r="BG292" s="347">
        <f t="array" aca="1" ref="BG292" ca="1">SUM($K292:$V292*$BY292:$CJ292*$BK292:$BV292)*$AZ292*$BX292</f>
        <v>0</v>
      </c>
      <c r="BH292" s="347">
        <f t="array" aca="1" ref="BH292" ca="1">SUM($K292:$V292*$BY292:$CJ292*$BK292:$BV292)*(1-$BE292)*$AZ292*$BX292</f>
        <v>0</v>
      </c>
      <c r="BI292" s="350">
        <f t="shared" ca="1" si="1699"/>
        <v>0</v>
      </c>
      <c r="BJ292" s="275" t="str">
        <f t="shared" ca="1" si="1700"/>
        <v>Да</v>
      </c>
      <c r="BK292" s="116">
        <f t="shared" ca="1" si="1701"/>
        <v>0.8</v>
      </c>
      <c r="BL292" s="117">
        <f t="shared" ca="1" si="1701"/>
        <v>0.9</v>
      </c>
      <c r="BM292" s="117">
        <f t="shared" ca="1" si="1701"/>
        <v>1</v>
      </c>
      <c r="BN292" s="117">
        <f t="shared" ca="1" si="1701"/>
        <v>1</v>
      </c>
      <c r="BO292" s="117">
        <f t="shared" ca="1" si="1701"/>
        <v>1</v>
      </c>
      <c r="BP292" s="117">
        <f t="shared" ca="1" si="1701"/>
        <v>1</v>
      </c>
      <c r="BQ292" s="117">
        <f t="shared" ca="1" si="1701"/>
        <v>0.9</v>
      </c>
      <c r="BR292" s="117">
        <f t="shared" ca="1" si="1701"/>
        <v>0.9</v>
      </c>
      <c r="BS292" s="117">
        <f t="shared" ca="1" si="1701"/>
        <v>1.3</v>
      </c>
      <c r="BT292" s="117">
        <f t="shared" ca="1" si="1701"/>
        <v>1.3</v>
      </c>
      <c r="BU292" s="117">
        <f t="shared" ca="1" si="1701"/>
        <v>1.3</v>
      </c>
      <c r="BV292" s="278">
        <f t="shared" ca="1" si="1701"/>
        <v>1.3</v>
      </c>
      <c r="BW292" s="280">
        <f t="shared" si="1421"/>
        <v>3</v>
      </c>
      <c r="BX292" s="118">
        <f>IF($AN292="Ya",100%,100%+extraDelayZ)</f>
        <v>1</v>
      </c>
      <c r="BY292" s="263">
        <f t="shared" si="1702"/>
        <v>1</v>
      </c>
      <c r="BZ292" s="264">
        <f t="shared" si="1703"/>
        <v>1</v>
      </c>
      <c r="CA292" s="264">
        <f t="shared" si="1704"/>
        <v>1</v>
      </c>
      <c r="CB292" s="264">
        <f t="shared" si="1705"/>
        <v>1</v>
      </c>
      <c r="CC292" s="264">
        <f t="shared" si="1706"/>
        <v>1</v>
      </c>
      <c r="CD292" s="264">
        <f t="shared" si="1707"/>
        <v>1</v>
      </c>
      <c r="CE292" s="264">
        <f t="shared" si="1708"/>
        <v>1</v>
      </c>
      <c r="CF292" s="264">
        <f t="shared" si="1709"/>
        <v>1</v>
      </c>
      <c r="CG292" s="264">
        <f t="shared" si="1710"/>
        <v>1</v>
      </c>
      <c r="CH292" s="264">
        <f t="shared" si="1711"/>
        <v>1</v>
      </c>
      <c r="CI292" s="264">
        <f t="shared" si="1712"/>
        <v>1</v>
      </c>
      <c r="CJ292" s="265">
        <f t="shared" si="1713"/>
        <v>1</v>
      </c>
      <c r="CK292" s="269">
        <f t="array" ref="CK292">IF(ISERROR(SUM($K292:$V292*$BY292:$CJ292)/SUM($K292:$V292)),1,SUM($K292:$V292*$BY292:$CJ292)/SUM($K292:$V292))-1</f>
        <v>0</v>
      </c>
      <c r="CL292" s="234"/>
    </row>
    <row r="293" spans="1:90" ht="12.75" hidden="1" outlineLevel="1" x14ac:dyDescent="0.2">
      <c r="B293" s="404" t="str">
        <f t="shared" ca="1" si="1681"/>
        <v>Пакет "Охват 1000К", 240x400</v>
      </c>
      <c r="C293" s="649" t="str">
        <f t="shared" ca="1" si="1682"/>
        <v>Пакет</v>
      </c>
      <c r="D293" s="405">
        <f t="shared" ca="1" si="1683"/>
        <v>350</v>
      </c>
      <c r="E293" s="405">
        <f t="shared" ca="1" si="1684"/>
        <v>350</v>
      </c>
      <c r="F293" s="405">
        <f t="shared" ca="1" si="1685"/>
        <v>350</v>
      </c>
      <c r="G293" s="406">
        <f t="shared" ca="1" si="1686"/>
        <v>350000</v>
      </c>
      <c r="H293" s="406">
        <f t="shared" ca="1" si="1687"/>
        <v>350000</v>
      </c>
      <c r="I293" s="406">
        <f t="shared" ca="1" si="1688"/>
        <v>0</v>
      </c>
      <c r="J293" s="407">
        <f t="shared" ca="1" si="1689"/>
        <v>0</v>
      </c>
      <c r="K293" s="408"/>
      <c r="L293" s="409"/>
      <c r="M293" s="409"/>
      <c r="N293" s="409"/>
      <c r="O293" s="409"/>
      <c r="P293" s="409"/>
      <c r="Q293" s="409"/>
      <c r="R293" s="409"/>
      <c r="S293" s="409"/>
      <c r="T293" s="409"/>
      <c r="U293" s="409"/>
      <c r="V293" s="410"/>
      <c r="W293" s="406">
        <f t="shared" ca="1" si="1394"/>
        <v>0</v>
      </c>
      <c r="X293" s="406"/>
      <c r="Y293" s="411"/>
      <c r="Z293" s="412">
        <f t="shared" si="1690"/>
        <v>0</v>
      </c>
      <c r="AA293" s="413"/>
      <c r="AB293" s="413"/>
      <c r="AC293" s="413"/>
      <c r="AD293" s="413"/>
      <c r="AE293" s="413"/>
      <c r="AF293" s="413"/>
      <c r="AG293" s="413"/>
      <c r="AH293" s="413"/>
      <c r="AI293" s="413"/>
      <c r="AJ293" s="413"/>
      <c r="AK293" s="413"/>
      <c r="AL293" s="413"/>
      <c r="AM293" s="572"/>
      <c r="AN293" s="351" t="s">
        <v>61</v>
      </c>
      <c r="AO293" s="351" t="str">
        <f t="shared" si="1419"/>
        <v>Tvidi.ru</v>
      </c>
      <c r="AP293" s="115">
        <f t="shared" si="1544"/>
        <v>7</v>
      </c>
      <c r="AQ293" s="31">
        <f t="shared" ca="1" si="1691"/>
        <v>0.15</v>
      </c>
      <c r="AR293" s="31">
        <f t="shared" ca="1" si="1691"/>
        <v>0.15</v>
      </c>
      <c r="AS293" s="35">
        <v>0</v>
      </c>
      <c r="AT293" s="229">
        <v>0</v>
      </c>
      <c r="AU293" s="344">
        <f t="shared" ca="1" si="1692"/>
        <v>350</v>
      </c>
      <c r="AV293" s="345">
        <f t="shared" ca="1" si="1693"/>
        <v>350</v>
      </c>
      <c r="AW293" s="346">
        <f t="shared" ca="1" si="1694"/>
        <v>350</v>
      </c>
      <c r="AX293" s="280"/>
      <c r="AY293" s="280"/>
      <c r="AZ293" s="347">
        <f t="shared" ca="1" si="1695"/>
        <v>350000</v>
      </c>
      <c r="BA293" s="348">
        <f t="shared" ca="1" si="1696"/>
        <v>350000</v>
      </c>
      <c r="BB293" s="347">
        <f t="shared" ca="1" si="1697"/>
        <v>1000</v>
      </c>
      <c r="BC293" s="37" t="str">
        <f t="shared" ca="1" si="1697"/>
        <v>Пакет</v>
      </c>
      <c r="BD293" s="229" t="str">
        <f t="shared" ca="1" si="1698"/>
        <v>Пакет</v>
      </c>
      <c r="BE293" s="283">
        <f t="shared" ca="1" si="1420"/>
        <v>0</v>
      </c>
      <c r="BF293" s="347">
        <f t="array" aca="1" ref="BF293" ca="1">SUM($K293:$V293*$BK293:$BV293)*$AZ293</f>
        <v>0</v>
      </c>
      <c r="BG293" s="347">
        <f t="array" aca="1" ref="BG293" ca="1">SUM($K293:$V293*$BY293:$CJ293*$BK293:$BV293)*$AZ293*$BX293</f>
        <v>0</v>
      </c>
      <c r="BH293" s="347">
        <f t="array" aca="1" ref="BH293" ca="1">SUM($K293:$V293*$BY293:$CJ293*$BK293:$BV293)*(1-$BE293)*$AZ293*$BX293</f>
        <v>0</v>
      </c>
      <c r="BI293" s="350">
        <f t="shared" ca="1" si="1699"/>
        <v>0</v>
      </c>
      <c r="BJ293" s="275" t="str">
        <f t="shared" ca="1" si="1700"/>
        <v>Да</v>
      </c>
      <c r="BK293" s="116">
        <f t="shared" ca="1" si="1701"/>
        <v>0.8</v>
      </c>
      <c r="BL293" s="117">
        <f t="shared" ca="1" si="1701"/>
        <v>0.9</v>
      </c>
      <c r="BM293" s="117">
        <f t="shared" ca="1" si="1701"/>
        <v>1</v>
      </c>
      <c r="BN293" s="117">
        <f t="shared" ca="1" si="1701"/>
        <v>1</v>
      </c>
      <c r="BO293" s="117">
        <f t="shared" ca="1" si="1701"/>
        <v>1</v>
      </c>
      <c r="BP293" s="117">
        <f t="shared" ca="1" si="1701"/>
        <v>1</v>
      </c>
      <c r="BQ293" s="117">
        <f t="shared" ca="1" si="1701"/>
        <v>0.9</v>
      </c>
      <c r="BR293" s="117">
        <f t="shared" ca="1" si="1701"/>
        <v>0.9</v>
      </c>
      <c r="BS293" s="117">
        <f t="shared" ca="1" si="1701"/>
        <v>1.3</v>
      </c>
      <c r="BT293" s="117">
        <f t="shared" ca="1" si="1701"/>
        <v>1.3</v>
      </c>
      <c r="BU293" s="117">
        <f t="shared" ca="1" si="1701"/>
        <v>1.3</v>
      </c>
      <c r="BV293" s="278">
        <f t="shared" ca="1" si="1701"/>
        <v>1.3</v>
      </c>
      <c r="BW293" s="280">
        <f t="shared" si="1421"/>
        <v>4</v>
      </c>
      <c r="BX293" s="118">
        <f>IF($AN293="Ya",100%,100%+extraDelayZ)</f>
        <v>1</v>
      </c>
      <c r="BY293" s="263">
        <f t="shared" si="1702"/>
        <v>1</v>
      </c>
      <c r="BZ293" s="264">
        <f t="shared" si="1703"/>
        <v>1</v>
      </c>
      <c r="CA293" s="264">
        <f t="shared" si="1704"/>
        <v>1</v>
      </c>
      <c r="CB293" s="264">
        <f t="shared" si="1705"/>
        <v>1</v>
      </c>
      <c r="CC293" s="264">
        <f t="shared" si="1706"/>
        <v>1</v>
      </c>
      <c r="CD293" s="264">
        <f t="shared" si="1707"/>
        <v>1</v>
      </c>
      <c r="CE293" s="264">
        <f t="shared" si="1708"/>
        <v>1</v>
      </c>
      <c r="CF293" s="264">
        <f t="shared" si="1709"/>
        <v>1</v>
      </c>
      <c r="CG293" s="264">
        <f t="shared" si="1710"/>
        <v>1</v>
      </c>
      <c r="CH293" s="264">
        <f t="shared" si="1711"/>
        <v>1</v>
      </c>
      <c r="CI293" s="264">
        <f t="shared" si="1712"/>
        <v>1</v>
      </c>
      <c r="CJ293" s="265">
        <f t="shared" si="1713"/>
        <v>1</v>
      </c>
      <c r="CK293" s="269">
        <f t="array" ref="CK293">IF(ISERROR(SUM($K293:$V293*$BY293:$CJ293)/SUM($K293:$V293)),1,SUM($K293:$V293*$BY293:$CJ293)/SUM($K293:$V293))-1</f>
        <v>0</v>
      </c>
      <c r="CL293" s="234"/>
    </row>
    <row r="294" spans="1:90" ht="12.75" hidden="1" outlineLevel="1" x14ac:dyDescent="0.2">
      <c r="B294" s="404" t="str">
        <f t="shared" ca="1" si="1681"/>
        <v>Пакет "Охват 1000К", 728х90</v>
      </c>
      <c r="C294" s="649" t="str">
        <f t="shared" ca="1" si="1682"/>
        <v>Пакет</v>
      </c>
      <c r="D294" s="405">
        <f t="shared" ca="1" si="1683"/>
        <v>300</v>
      </c>
      <c r="E294" s="405">
        <f t="shared" ca="1" si="1684"/>
        <v>300</v>
      </c>
      <c r="F294" s="405">
        <f t="shared" ca="1" si="1685"/>
        <v>300</v>
      </c>
      <c r="G294" s="406">
        <f t="shared" ca="1" si="1686"/>
        <v>300000</v>
      </c>
      <c r="H294" s="406">
        <f t="shared" ca="1" si="1687"/>
        <v>300000</v>
      </c>
      <c r="I294" s="406">
        <f t="shared" ca="1" si="1688"/>
        <v>0</v>
      </c>
      <c r="J294" s="407">
        <f t="shared" ca="1" si="1689"/>
        <v>0</v>
      </c>
      <c r="K294" s="408"/>
      <c r="L294" s="409"/>
      <c r="M294" s="409"/>
      <c r="N294" s="409"/>
      <c r="O294" s="409"/>
      <c r="P294" s="409"/>
      <c r="Q294" s="409"/>
      <c r="R294" s="409"/>
      <c r="S294" s="409"/>
      <c r="T294" s="409"/>
      <c r="U294" s="409"/>
      <c r="V294" s="410"/>
      <c r="W294" s="406">
        <f t="shared" ca="1" si="1394"/>
        <v>0</v>
      </c>
      <c r="X294" s="406"/>
      <c r="Y294" s="411"/>
      <c r="Z294" s="412">
        <f t="shared" si="1690"/>
        <v>0</v>
      </c>
      <c r="AA294" s="413"/>
      <c r="AB294" s="413"/>
      <c r="AC294" s="413"/>
      <c r="AD294" s="413"/>
      <c r="AE294" s="413"/>
      <c r="AF294" s="413"/>
      <c r="AG294" s="413"/>
      <c r="AH294" s="413"/>
      <c r="AI294" s="413"/>
      <c r="AJ294" s="413"/>
      <c r="AK294" s="413"/>
      <c r="AL294" s="413"/>
      <c r="AM294" s="572"/>
      <c r="AN294" s="351" t="s">
        <v>61</v>
      </c>
      <c r="AO294" s="351" t="str">
        <f t="shared" si="1419"/>
        <v>Tvidi.ru</v>
      </c>
      <c r="AP294" s="115">
        <f t="shared" si="1544"/>
        <v>7</v>
      </c>
      <c r="AQ294" s="31">
        <f t="shared" ca="1" si="1691"/>
        <v>0.15</v>
      </c>
      <c r="AR294" s="31">
        <f t="shared" ca="1" si="1691"/>
        <v>0.15</v>
      </c>
      <c r="AS294" s="35">
        <v>0</v>
      </c>
      <c r="AT294" s="229">
        <v>0</v>
      </c>
      <c r="AU294" s="344">
        <f t="shared" ca="1" si="1692"/>
        <v>300</v>
      </c>
      <c r="AV294" s="345">
        <f t="shared" ca="1" si="1693"/>
        <v>300</v>
      </c>
      <c r="AW294" s="346">
        <f t="shared" ca="1" si="1694"/>
        <v>300</v>
      </c>
      <c r="AX294" s="280"/>
      <c r="AY294" s="280"/>
      <c r="AZ294" s="347">
        <f t="shared" ca="1" si="1695"/>
        <v>300000</v>
      </c>
      <c r="BA294" s="348">
        <f t="shared" ca="1" si="1696"/>
        <v>300000</v>
      </c>
      <c r="BB294" s="347">
        <f t="shared" ca="1" si="1697"/>
        <v>1000</v>
      </c>
      <c r="BC294" s="37" t="str">
        <f t="shared" ca="1" si="1697"/>
        <v>Пакет</v>
      </c>
      <c r="BD294" s="229" t="str">
        <f t="shared" ca="1" si="1698"/>
        <v>Пакет</v>
      </c>
      <c r="BE294" s="283">
        <f t="shared" ca="1" si="1420"/>
        <v>0</v>
      </c>
      <c r="BF294" s="347">
        <f t="array" aca="1" ref="BF294" ca="1">SUM($K294:$V294*$BK294:$BV294)*$AZ294</f>
        <v>0</v>
      </c>
      <c r="BG294" s="347">
        <f t="array" aca="1" ref="BG294" ca="1">SUM($K294:$V294*$BY294:$CJ294*$BK294:$BV294)*$AZ294*$BX294</f>
        <v>0</v>
      </c>
      <c r="BH294" s="347">
        <f t="array" aca="1" ref="BH294" ca="1">SUM($K294:$V294*$BY294:$CJ294*$BK294:$BV294)*(1-$BE294)*$AZ294*$BX294</f>
        <v>0</v>
      </c>
      <c r="BI294" s="350">
        <f t="shared" ca="1" si="1699"/>
        <v>0</v>
      </c>
      <c r="BJ294" s="275" t="str">
        <f t="shared" ca="1" si="1700"/>
        <v>Да</v>
      </c>
      <c r="BK294" s="116">
        <f t="shared" ca="1" si="1701"/>
        <v>0.8</v>
      </c>
      <c r="BL294" s="117">
        <f t="shared" ca="1" si="1701"/>
        <v>0.9</v>
      </c>
      <c r="BM294" s="117">
        <f t="shared" ca="1" si="1701"/>
        <v>1</v>
      </c>
      <c r="BN294" s="117">
        <f t="shared" ca="1" si="1701"/>
        <v>1</v>
      </c>
      <c r="BO294" s="117">
        <f t="shared" ca="1" si="1701"/>
        <v>1</v>
      </c>
      <c r="BP294" s="117">
        <f t="shared" ca="1" si="1701"/>
        <v>1</v>
      </c>
      <c r="BQ294" s="117">
        <f t="shared" ca="1" si="1701"/>
        <v>0.9</v>
      </c>
      <c r="BR294" s="117">
        <f t="shared" ca="1" si="1701"/>
        <v>0.9</v>
      </c>
      <c r="BS294" s="117">
        <f t="shared" ca="1" si="1701"/>
        <v>1.3</v>
      </c>
      <c r="BT294" s="117">
        <f t="shared" ca="1" si="1701"/>
        <v>1.3</v>
      </c>
      <c r="BU294" s="117">
        <f t="shared" ca="1" si="1701"/>
        <v>1.3</v>
      </c>
      <c r="BV294" s="278">
        <f t="shared" ca="1" si="1701"/>
        <v>1.3</v>
      </c>
      <c r="BW294" s="280">
        <f t="shared" si="1421"/>
        <v>5</v>
      </c>
      <c r="BX294" s="118">
        <f>IF($AN294="Ya",100%,100%+extraDelayZ)</f>
        <v>1</v>
      </c>
      <c r="BY294" s="263">
        <f t="shared" si="1702"/>
        <v>1</v>
      </c>
      <c r="BZ294" s="264">
        <f t="shared" si="1703"/>
        <v>1</v>
      </c>
      <c r="CA294" s="264">
        <f t="shared" si="1704"/>
        <v>1</v>
      </c>
      <c r="CB294" s="264">
        <f t="shared" si="1705"/>
        <v>1</v>
      </c>
      <c r="CC294" s="264">
        <f t="shared" si="1706"/>
        <v>1</v>
      </c>
      <c r="CD294" s="264">
        <f t="shared" si="1707"/>
        <v>1</v>
      </c>
      <c r="CE294" s="264">
        <f t="shared" si="1708"/>
        <v>1</v>
      </c>
      <c r="CF294" s="264">
        <f t="shared" si="1709"/>
        <v>1</v>
      </c>
      <c r="CG294" s="264">
        <f t="shared" si="1710"/>
        <v>1</v>
      </c>
      <c r="CH294" s="264">
        <f t="shared" si="1711"/>
        <v>1</v>
      </c>
      <c r="CI294" s="264">
        <f t="shared" si="1712"/>
        <v>1</v>
      </c>
      <c r="CJ294" s="265">
        <f t="shared" si="1713"/>
        <v>1</v>
      </c>
      <c r="CK294" s="269">
        <f t="array" ref="CK294">IF(ISERROR(SUM($K294:$V294*$BY294:$CJ294)/SUM($K294:$V294)),1,SUM($K294:$V294*$BY294:$CJ294)/SUM($K294:$V294))-1</f>
        <v>0</v>
      </c>
      <c r="CL294" s="234"/>
    </row>
    <row r="295" spans="1:90" ht="12.75" hidden="1" outlineLevel="1" x14ac:dyDescent="0.2">
      <c r="B295" s="404" t="str">
        <f t="shared" ca="1" si="1681"/>
        <v>Все страницы сайта,120х600 floater</v>
      </c>
      <c r="C295" s="649" t="str">
        <f t="shared" ca="1" si="1682"/>
        <v>х1000</v>
      </c>
      <c r="D295" s="405">
        <f t="shared" ca="1" si="1683"/>
        <v>500</v>
      </c>
      <c r="E295" s="405">
        <f t="shared" ca="1" si="1684"/>
        <v>500</v>
      </c>
      <c r="F295" s="405">
        <f t="shared" ca="1" si="1685"/>
        <v>500</v>
      </c>
      <c r="G295" s="406">
        <f t="shared" ca="1" si="1686"/>
        <v>500</v>
      </c>
      <c r="H295" s="406">
        <f t="shared" ca="1" si="1687"/>
        <v>500</v>
      </c>
      <c r="I295" s="406">
        <f t="shared" ca="1" si="1688"/>
        <v>0</v>
      </c>
      <c r="J295" s="407">
        <f t="shared" ca="1" si="1689"/>
        <v>0</v>
      </c>
      <c r="K295" s="408"/>
      <c r="L295" s="409"/>
      <c r="M295" s="409"/>
      <c r="N295" s="409"/>
      <c r="O295" s="409"/>
      <c r="P295" s="409"/>
      <c r="Q295" s="409"/>
      <c r="R295" s="409"/>
      <c r="S295" s="409"/>
      <c r="T295" s="409"/>
      <c r="U295" s="409"/>
      <c r="V295" s="410"/>
      <c r="W295" s="406">
        <f t="shared" ref="W295:W340" ca="1" si="1714">$BI295</f>
        <v>0</v>
      </c>
      <c r="X295" s="406"/>
      <c r="Y295" s="411"/>
      <c r="Z295" s="412">
        <f t="shared" si="1690"/>
        <v>0</v>
      </c>
      <c r="AA295" s="413"/>
      <c r="AB295" s="413"/>
      <c r="AC295" s="413"/>
      <c r="AD295" s="413"/>
      <c r="AE295" s="413"/>
      <c r="AF295" s="413"/>
      <c r="AG295" s="413"/>
      <c r="AH295" s="413"/>
      <c r="AI295" s="413"/>
      <c r="AJ295" s="413"/>
      <c r="AK295" s="413"/>
      <c r="AL295" s="413"/>
      <c r="AM295" s="572"/>
      <c r="AN295" s="351" t="s">
        <v>61</v>
      </c>
      <c r="AO295" s="351" t="str">
        <f t="shared" si="1419"/>
        <v>Tvidi.ru</v>
      </c>
      <c r="AP295" s="115">
        <f t="shared" si="1544"/>
        <v>7</v>
      </c>
      <c r="AQ295" s="31">
        <f t="shared" ca="1" si="1691"/>
        <v>0.15</v>
      </c>
      <c r="AR295" s="31">
        <f t="shared" ca="1" si="1691"/>
        <v>0.15</v>
      </c>
      <c r="AS295" s="35">
        <v>0</v>
      </c>
      <c r="AT295" s="229">
        <v>0</v>
      </c>
      <c r="AU295" s="344">
        <f t="shared" ca="1" si="1692"/>
        <v>500</v>
      </c>
      <c r="AV295" s="345">
        <f t="shared" ca="1" si="1693"/>
        <v>500</v>
      </c>
      <c r="AW295" s="346">
        <f t="shared" ca="1" si="1694"/>
        <v>500</v>
      </c>
      <c r="AX295" s="280"/>
      <c r="AY295" s="280"/>
      <c r="AZ295" s="347">
        <f t="shared" ca="1" si="1695"/>
        <v>500</v>
      </c>
      <c r="BA295" s="348">
        <f t="shared" ca="1" si="1696"/>
        <v>500</v>
      </c>
      <c r="BB295" s="347">
        <f t="shared" ca="1" si="1697"/>
        <v>1</v>
      </c>
      <c r="BC295" s="37" t="str">
        <f t="shared" ca="1" si="1697"/>
        <v>1000 контактов</v>
      </c>
      <c r="BD295" s="229" t="str">
        <f t="shared" ca="1" si="1698"/>
        <v>х1000</v>
      </c>
      <c r="BE295" s="283">
        <f t="shared" ca="1" si="1420"/>
        <v>0</v>
      </c>
      <c r="BF295" s="347">
        <f t="array" aca="1" ref="BF295" ca="1">SUM($K295:$V295*$BK295:$BV295)*$AZ295</f>
        <v>0</v>
      </c>
      <c r="BG295" s="347">
        <f t="array" aca="1" ref="BG295" ca="1">SUM($K295:$V295*$BY295:$CJ295*$BK295:$BV295)*$AZ295*$BX295</f>
        <v>0</v>
      </c>
      <c r="BH295" s="347">
        <f t="array" aca="1" ref="BH295" ca="1">SUM($K295:$V295*$BY295:$CJ295*$BK295:$BV295)*(1-$BE295)*$AZ295*$BX295</f>
        <v>0</v>
      </c>
      <c r="BI295" s="350">
        <f t="shared" ca="1" si="1699"/>
        <v>0</v>
      </c>
      <c r="BJ295" s="275" t="str">
        <f t="shared" ca="1" si="1700"/>
        <v>Да</v>
      </c>
      <c r="BK295" s="116">
        <f t="shared" ca="1" si="1701"/>
        <v>0.8</v>
      </c>
      <c r="BL295" s="117">
        <f t="shared" ca="1" si="1701"/>
        <v>0.9</v>
      </c>
      <c r="BM295" s="117">
        <f t="shared" ca="1" si="1701"/>
        <v>1</v>
      </c>
      <c r="BN295" s="117">
        <f t="shared" ca="1" si="1701"/>
        <v>1</v>
      </c>
      <c r="BO295" s="117">
        <f t="shared" ca="1" si="1701"/>
        <v>1</v>
      </c>
      <c r="BP295" s="117">
        <f t="shared" ca="1" si="1701"/>
        <v>1</v>
      </c>
      <c r="BQ295" s="117">
        <f t="shared" ca="1" si="1701"/>
        <v>0.9</v>
      </c>
      <c r="BR295" s="117">
        <f t="shared" ca="1" si="1701"/>
        <v>0.9</v>
      </c>
      <c r="BS295" s="117">
        <f t="shared" ca="1" si="1701"/>
        <v>1.3</v>
      </c>
      <c r="BT295" s="117">
        <f t="shared" ca="1" si="1701"/>
        <v>1.3</v>
      </c>
      <c r="BU295" s="117">
        <f t="shared" ca="1" si="1701"/>
        <v>1.3</v>
      </c>
      <c r="BV295" s="278">
        <f t="shared" ca="1" si="1701"/>
        <v>1.3</v>
      </c>
      <c r="BW295" s="280">
        <f t="shared" si="1421"/>
        <v>6</v>
      </c>
      <c r="BX295" s="118">
        <f>IF($AN295="Ya",100%,100%+extraDelayZ)</f>
        <v>1</v>
      </c>
      <c r="BY295" s="263">
        <f t="shared" si="1702"/>
        <v>1</v>
      </c>
      <c r="BZ295" s="264">
        <f t="shared" si="1703"/>
        <v>1</v>
      </c>
      <c r="CA295" s="264">
        <f t="shared" si="1704"/>
        <v>1</v>
      </c>
      <c r="CB295" s="264">
        <f t="shared" si="1705"/>
        <v>1</v>
      </c>
      <c r="CC295" s="264">
        <f t="shared" si="1706"/>
        <v>1</v>
      </c>
      <c r="CD295" s="264">
        <f t="shared" si="1707"/>
        <v>1</v>
      </c>
      <c r="CE295" s="264">
        <f t="shared" si="1708"/>
        <v>1</v>
      </c>
      <c r="CF295" s="264">
        <f t="shared" si="1709"/>
        <v>1</v>
      </c>
      <c r="CG295" s="264">
        <f t="shared" si="1710"/>
        <v>1</v>
      </c>
      <c r="CH295" s="264">
        <f t="shared" si="1711"/>
        <v>1</v>
      </c>
      <c r="CI295" s="264">
        <f t="shared" si="1712"/>
        <v>1</v>
      </c>
      <c r="CJ295" s="265">
        <f t="shared" si="1713"/>
        <v>1</v>
      </c>
      <c r="CK295" s="269">
        <f t="array" ref="CK295">IF(ISERROR(SUM($K295:$V295*$BY295:$CJ295)/SUM($K295:$V295)),1,SUM($K295:$V295*$BY295:$CJ295)/SUM($K295:$V295))-1</f>
        <v>0</v>
      </c>
      <c r="CL295" s="234"/>
    </row>
    <row r="296" spans="1:90" ht="12.75" hidden="1" outlineLevel="1" x14ac:dyDescent="0.2">
      <c r="B296" s="414" t="str">
        <f t="shared" ca="1" si="1681"/>
        <v>Новости, Игры, Форумы, 468х60</v>
      </c>
      <c r="C296" s="649" t="str">
        <f t="shared" ca="1" si="1682"/>
        <v>х1000</v>
      </c>
      <c r="D296" s="415">
        <f t="shared" ca="1" si="1683"/>
        <v>300</v>
      </c>
      <c r="E296" s="415">
        <f t="shared" ca="1" si="1684"/>
        <v>300</v>
      </c>
      <c r="F296" s="415">
        <f t="shared" ca="1" si="1685"/>
        <v>300</v>
      </c>
      <c r="G296" s="416">
        <f t="shared" ca="1" si="1686"/>
        <v>300</v>
      </c>
      <c r="H296" s="416">
        <f t="shared" ca="1" si="1687"/>
        <v>300</v>
      </c>
      <c r="I296" s="406">
        <f t="shared" ca="1" si="1688"/>
        <v>0</v>
      </c>
      <c r="J296" s="407">
        <f t="shared" ca="1" si="1689"/>
        <v>0</v>
      </c>
      <c r="K296" s="417"/>
      <c r="L296" s="418"/>
      <c r="M296" s="418"/>
      <c r="N296" s="418"/>
      <c r="O296" s="418"/>
      <c r="P296" s="418"/>
      <c r="Q296" s="418"/>
      <c r="R296" s="418"/>
      <c r="S296" s="418"/>
      <c r="T296" s="418"/>
      <c r="U296" s="418"/>
      <c r="V296" s="419"/>
      <c r="W296" s="416">
        <f t="shared" ca="1" si="1714"/>
        <v>0</v>
      </c>
      <c r="X296" s="416"/>
      <c r="Y296" s="420"/>
      <c r="Z296" s="412">
        <f t="shared" si="1690"/>
        <v>0</v>
      </c>
      <c r="AA296" s="421"/>
      <c r="AB296" s="421"/>
      <c r="AC296" s="421"/>
      <c r="AD296" s="421"/>
      <c r="AE296" s="421"/>
      <c r="AF296" s="421"/>
      <c r="AG296" s="421"/>
      <c r="AH296" s="421"/>
      <c r="AI296" s="421"/>
      <c r="AJ296" s="421"/>
      <c r="AK296" s="421"/>
      <c r="AL296" s="421"/>
      <c r="AM296" s="573"/>
      <c r="AN296" s="351" t="s">
        <v>61</v>
      </c>
      <c r="AO296" s="351" t="str">
        <f t="shared" si="1419"/>
        <v>Tvidi.ru</v>
      </c>
      <c r="AP296" s="115">
        <f t="shared" si="1544"/>
        <v>7</v>
      </c>
      <c r="AQ296" s="31">
        <f t="shared" ca="1" si="1691"/>
        <v>0.15</v>
      </c>
      <c r="AR296" s="31">
        <f t="shared" ca="1" si="1691"/>
        <v>0.15</v>
      </c>
      <c r="AS296" s="35">
        <v>0</v>
      </c>
      <c r="AT296" s="229">
        <v>0</v>
      </c>
      <c r="AU296" s="344">
        <f t="shared" ca="1" si="1692"/>
        <v>300</v>
      </c>
      <c r="AV296" s="345">
        <f t="shared" ca="1" si="1693"/>
        <v>300</v>
      </c>
      <c r="AW296" s="346">
        <f t="shared" ca="1" si="1694"/>
        <v>300</v>
      </c>
      <c r="AX296" s="280"/>
      <c r="AY296" s="280"/>
      <c r="AZ296" s="347">
        <f t="shared" ca="1" si="1695"/>
        <v>300</v>
      </c>
      <c r="BA296" s="348">
        <f t="shared" ca="1" si="1696"/>
        <v>300</v>
      </c>
      <c r="BB296" s="347">
        <f t="shared" ca="1" si="1697"/>
        <v>1</v>
      </c>
      <c r="BC296" s="37" t="str">
        <f t="shared" ca="1" si="1697"/>
        <v>1000 контактов</v>
      </c>
      <c r="BD296" s="229" t="str">
        <f t="shared" ca="1" si="1698"/>
        <v>х1000</v>
      </c>
      <c r="BE296" s="283">
        <f t="shared" ca="1" si="1420"/>
        <v>0</v>
      </c>
      <c r="BF296" s="347">
        <f t="array" aca="1" ref="BF296" ca="1">SUM($K296:$V296*$BK296:$BV296)*$AZ296</f>
        <v>0</v>
      </c>
      <c r="BG296" s="347">
        <f t="array" aca="1" ref="BG296" ca="1">SUM($K296:$V296*$BY296:$CJ296*$BK296:$BV296)*$AZ296*$BX296</f>
        <v>0</v>
      </c>
      <c r="BH296" s="347">
        <f t="array" aca="1" ref="BH296" ca="1">SUM($K296:$V296*$BY296:$CJ296*$BK296:$BV296)*(1-$BE296)*$AZ296*$BX296</f>
        <v>0</v>
      </c>
      <c r="BI296" s="350">
        <f t="shared" ca="1" si="1699"/>
        <v>0</v>
      </c>
      <c r="BJ296" s="275" t="str">
        <f t="shared" ca="1" si="1700"/>
        <v>Да</v>
      </c>
      <c r="BK296" s="116">
        <f t="shared" ca="1" si="1701"/>
        <v>0.8</v>
      </c>
      <c r="BL296" s="117">
        <f t="shared" ca="1" si="1701"/>
        <v>0.9</v>
      </c>
      <c r="BM296" s="117">
        <f t="shared" ca="1" si="1701"/>
        <v>1</v>
      </c>
      <c r="BN296" s="117">
        <f t="shared" ca="1" si="1701"/>
        <v>1</v>
      </c>
      <c r="BO296" s="117">
        <f t="shared" ca="1" si="1701"/>
        <v>1</v>
      </c>
      <c r="BP296" s="117">
        <f t="shared" ca="1" si="1701"/>
        <v>1</v>
      </c>
      <c r="BQ296" s="117">
        <f t="shared" ca="1" si="1701"/>
        <v>0.9</v>
      </c>
      <c r="BR296" s="117">
        <f t="shared" ca="1" si="1701"/>
        <v>0.9</v>
      </c>
      <c r="BS296" s="117">
        <f t="shared" ca="1" si="1701"/>
        <v>1.3</v>
      </c>
      <c r="BT296" s="117">
        <f t="shared" ca="1" si="1701"/>
        <v>1.3</v>
      </c>
      <c r="BU296" s="117">
        <f t="shared" ca="1" si="1701"/>
        <v>1.3</v>
      </c>
      <c r="BV296" s="278">
        <f t="shared" ca="1" si="1701"/>
        <v>1.3</v>
      </c>
      <c r="BW296" s="280">
        <f t="shared" si="1421"/>
        <v>7</v>
      </c>
      <c r="BX296" s="118">
        <f>IF($AN296="Ya",100%,100%+extraDelayZ)</f>
        <v>1</v>
      </c>
      <c r="BY296" s="263">
        <f t="shared" si="1702"/>
        <v>1</v>
      </c>
      <c r="BZ296" s="264">
        <f t="shared" si="1703"/>
        <v>1</v>
      </c>
      <c r="CA296" s="264">
        <f t="shared" si="1704"/>
        <v>1</v>
      </c>
      <c r="CB296" s="264">
        <f t="shared" si="1705"/>
        <v>1</v>
      </c>
      <c r="CC296" s="264">
        <f t="shared" si="1706"/>
        <v>1</v>
      </c>
      <c r="CD296" s="264">
        <f t="shared" si="1707"/>
        <v>1</v>
      </c>
      <c r="CE296" s="264">
        <f t="shared" si="1708"/>
        <v>1</v>
      </c>
      <c r="CF296" s="264">
        <f t="shared" si="1709"/>
        <v>1</v>
      </c>
      <c r="CG296" s="264">
        <f t="shared" si="1710"/>
        <v>1</v>
      </c>
      <c r="CH296" s="264">
        <f t="shared" si="1711"/>
        <v>1</v>
      </c>
      <c r="CI296" s="264">
        <f t="shared" si="1712"/>
        <v>1</v>
      </c>
      <c r="CJ296" s="265">
        <f t="shared" si="1713"/>
        <v>1</v>
      </c>
      <c r="CK296" s="269">
        <f t="array" ref="CK296">IF(ISERROR(SUM($K296:$V296*$BY296:$CJ296)/SUM($K296:$V296)),1,SUM($K296:$V296*$BY296:$CJ296)/SUM($K296:$V296))-1</f>
        <v>0</v>
      </c>
      <c r="CL296" s="234"/>
    </row>
    <row r="297" spans="1:90" ht="15" collapsed="1" x14ac:dyDescent="0.2">
      <c r="A297" s="391"/>
      <c r="B297" s="392" t="str">
        <f>CONCATENATE($AO297,IF($AX297&gt;0,CONCATENATE("  (план ",TEXT(INDEX(indBudX,MATCH($AN297,indPrefixX,0)),"# ##0")," руб.)"),""))</f>
        <v>Disney.ru</v>
      </c>
      <c r="C297" s="650" t="s">
        <v>363</v>
      </c>
      <c r="D297" s="393"/>
      <c r="E297" s="394"/>
      <c r="F297" s="394"/>
      <c r="G297" s="395"/>
      <c r="H297" s="395"/>
      <c r="I297" s="395">
        <f t="shared" ca="1" si="1688"/>
        <v>0</v>
      </c>
      <c r="J297" s="396">
        <f ca="1">$BH297</f>
        <v>0</v>
      </c>
      <c r="K297" s="397"/>
      <c r="L297" s="398"/>
      <c r="M297" s="398"/>
      <c r="N297" s="398"/>
      <c r="O297" s="398"/>
      <c r="P297" s="398"/>
      <c r="Q297" s="398"/>
      <c r="R297" s="398"/>
      <c r="S297" s="398"/>
      <c r="T297" s="398"/>
      <c r="U297" s="398"/>
      <c r="V297" s="399"/>
      <c r="W297" s="395">
        <f t="shared" ca="1" si="1714"/>
        <v>0</v>
      </c>
      <c r="X297" s="576"/>
      <c r="Y297" s="400">
        <f ca="1">$BE297</f>
        <v>0</v>
      </c>
      <c r="Z297" s="401"/>
      <c r="AA297" s="402"/>
      <c r="AB297" s="402"/>
      <c r="AC297" s="402"/>
      <c r="AD297" s="402"/>
      <c r="AE297" s="402"/>
      <c r="AF297" s="402"/>
      <c r="AG297" s="402"/>
      <c r="AH297" s="402"/>
      <c r="AI297" s="402"/>
      <c r="AJ297" s="402"/>
      <c r="AK297" s="402"/>
      <c r="AL297" s="402"/>
      <c r="AM297" s="403"/>
      <c r="AN297" s="130" t="s">
        <v>571</v>
      </c>
      <c r="AO297" s="130" t="str">
        <f t="shared" si="1419"/>
        <v>Disney.ru</v>
      </c>
      <c r="AP297" s="119">
        <f t="shared" si="1544"/>
        <v>7</v>
      </c>
      <c r="AQ297" s="120"/>
      <c r="AR297" s="120"/>
      <c r="AS297" s="121"/>
      <c r="AT297" s="228"/>
      <c r="AU297" s="232"/>
      <c r="AV297" s="179"/>
      <c r="AW297" s="233"/>
      <c r="AX297" s="279">
        <f>IF(ISERROR(INDEX(indBudX,MATCH($AN297,indPrefixX,0))),0,INDEX(indBudX,MATCH($AN297,indPrefixX,0)))</f>
        <v>0</v>
      </c>
      <c r="AY297" s="279">
        <f>IF(ISNUMBER($X297),$X297,0)</f>
        <v>0</v>
      </c>
      <c r="AZ297" s="123"/>
      <c r="BA297" s="125"/>
      <c r="BB297" s="123"/>
      <c r="BC297" s="124"/>
      <c r="BD297" s="464"/>
      <c r="BE297" s="282">
        <f t="shared" ca="1" si="1420"/>
        <v>0</v>
      </c>
      <c r="BF297" s="123">
        <f t="shared" ref="BF297:BI297" ca="1" si="1715">SUM(OFFSET(BF297,1,0,$AP297-1,1))</f>
        <v>0</v>
      </c>
      <c r="BG297" s="123">
        <f t="shared" ca="1" si="1715"/>
        <v>0</v>
      </c>
      <c r="BH297" s="123">
        <f t="shared" ca="1" si="1715"/>
        <v>0</v>
      </c>
      <c r="BI297" s="273">
        <f t="shared" ca="1" si="1715"/>
        <v>0</v>
      </c>
      <c r="BJ297" s="274"/>
      <c r="BK297" s="126"/>
      <c r="BL297" s="127"/>
      <c r="BM297" s="127"/>
      <c r="BN297" s="127"/>
      <c r="BO297" s="127"/>
      <c r="BP297" s="127"/>
      <c r="BQ297" s="127"/>
      <c r="BR297" s="127"/>
      <c r="BS297" s="127"/>
      <c r="BT297" s="127"/>
      <c r="BU297" s="127"/>
      <c r="BV297" s="277"/>
      <c r="BW297" s="279">
        <f t="shared" si="1421"/>
        <v>1</v>
      </c>
      <c r="BX297" s="128"/>
      <c r="BY297" s="260"/>
      <c r="BZ297" s="261"/>
      <c r="CA297" s="261"/>
      <c r="CB297" s="261"/>
      <c r="CC297" s="261"/>
      <c r="CD297" s="261"/>
      <c r="CE297" s="261"/>
      <c r="CF297" s="261"/>
      <c r="CG297" s="261"/>
      <c r="CH297" s="261"/>
      <c r="CI297" s="261"/>
      <c r="CJ297" s="262"/>
      <c r="CK297" s="270"/>
      <c r="CL297" s="234"/>
    </row>
    <row r="298" spans="1:90" ht="12.75" hidden="1" outlineLevel="1" x14ac:dyDescent="0.2">
      <c r="B298" s="404" t="str">
        <f t="shared" ca="1" si="1681"/>
        <v>Пакет "Охват 1200К", 745х90</v>
      </c>
      <c r="C298" s="649" t="str">
        <f t="shared" ca="1" si="1682"/>
        <v>Пакет</v>
      </c>
      <c r="D298" s="405">
        <f t="shared" ca="1" si="1683"/>
        <v>350</v>
      </c>
      <c r="E298" s="405">
        <f t="shared" ca="1" si="1684"/>
        <v>350</v>
      </c>
      <c r="F298" s="405">
        <f t="shared" ca="1" si="1685"/>
        <v>350</v>
      </c>
      <c r="G298" s="406">
        <f t="shared" ca="1" si="1686"/>
        <v>420000</v>
      </c>
      <c r="H298" s="406">
        <f t="shared" ca="1" si="1687"/>
        <v>420000</v>
      </c>
      <c r="I298" s="406">
        <f t="shared" ca="1" si="1688"/>
        <v>0</v>
      </c>
      <c r="J298" s="407">
        <f t="shared" ca="1" si="1689"/>
        <v>0</v>
      </c>
      <c r="K298" s="408"/>
      <c r="L298" s="409"/>
      <c r="M298" s="409"/>
      <c r="N298" s="409"/>
      <c r="O298" s="409"/>
      <c r="P298" s="409"/>
      <c r="Q298" s="409"/>
      <c r="R298" s="409"/>
      <c r="S298" s="409"/>
      <c r="T298" s="409"/>
      <c r="U298" s="409"/>
      <c r="V298" s="410"/>
      <c r="W298" s="406">
        <f t="shared" ca="1" si="1714"/>
        <v>0</v>
      </c>
      <c r="X298" s="406"/>
      <c r="Y298" s="411"/>
      <c r="Z298" s="412">
        <f t="shared" ref="Z298:Z303" si="1716">CK298</f>
        <v>0</v>
      </c>
      <c r="AA298" s="413"/>
      <c r="AB298" s="413"/>
      <c r="AC298" s="413"/>
      <c r="AD298" s="413"/>
      <c r="AE298" s="413"/>
      <c r="AF298" s="413"/>
      <c r="AG298" s="413"/>
      <c r="AH298" s="413"/>
      <c r="AI298" s="413"/>
      <c r="AJ298" s="413"/>
      <c r="AK298" s="413"/>
      <c r="AL298" s="413"/>
      <c r="AM298" s="572"/>
      <c r="AN298" s="351" t="s">
        <v>571</v>
      </c>
      <c r="AO298" s="351" t="str">
        <f t="shared" si="1419"/>
        <v>Disney.ru</v>
      </c>
      <c r="AP298" s="115">
        <f t="shared" si="1544"/>
        <v>7</v>
      </c>
      <c r="AQ298" s="31">
        <f t="shared" ca="1" si="1691"/>
        <v>0.25</v>
      </c>
      <c r="AR298" s="31">
        <f t="shared" ca="1" si="1691"/>
        <v>0.15</v>
      </c>
      <c r="AS298" s="35">
        <v>0</v>
      </c>
      <c r="AT298" s="229">
        <v>0</v>
      </c>
      <c r="AU298" s="344">
        <f t="shared" ca="1" si="1692"/>
        <v>350</v>
      </c>
      <c r="AV298" s="345">
        <f t="shared" ca="1" si="1693"/>
        <v>350</v>
      </c>
      <c r="AW298" s="346">
        <f t="shared" ca="1" si="1694"/>
        <v>350</v>
      </c>
      <c r="AX298" s="280"/>
      <c r="AY298" s="280"/>
      <c r="AZ298" s="347">
        <f t="shared" ca="1" si="1695"/>
        <v>420000</v>
      </c>
      <c r="BA298" s="348">
        <f t="shared" ca="1" si="1696"/>
        <v>420000</v>
      </c>
      <c r="BB298" s="347">
        <f t="shared" ca="1" si="1697"/>
        <v>1200</v>
      </c>
      <c r="BC298" s="37" t="str">
        <f t="shared" ca="1" si="1697"/>
        <v>Пакет</v>
      </c>
      <c r="BD298" s="229" t="str">
        <f t="shared" ca="1" si="1698"/>
        <v>Пакет</v>
      </c>
      <c r="BE298" s="283">
        <f t="shared" ca="1" si="1420"/>
        <v>0</v>
      </c>
      <c r="BF298" s="347">
        <f t="array" aca="1" ref="BF298" ca="1">SUM($K298:$V298*$BK298:$BV298)*$AZ298</f>
        <v>0</v>
      </c>
      <c r="BG298" s="347">
        <f t="array" aca="1" ref="BG298" ca="1">SUM($K298:$V298*$BY298:$CJ298*$BK298:$BV298)*$AZ298*$BX298</f>
        <v>0</v>
      </c>
      <c r="BH298" s="347">
        <f t="array" aca="1" ref="BH298" ca="1">SUM($K298:$V298*$BY298:$CJ298*$BK298:$BV298)*(1-$BE298)*$AZ298*$BX298</f>
        <v>0</v>
      </c>
      <c r="BI298" s="350">
        <f t="shared" ca="1" si="1699"/>
        <v>0</v>
      </c>
      <c r="BJ298" s="275" t="str">
        <f t="shared" ca="1" si="1700"/>
        <v>Да</v>
      </c>
      <c r="BK298" s="116">
        <f t="shared" ca="1" si="1701"/>
        <v>0.8</v>
      </c>
      <c r="BL298" s="117">
        <f t="shared" ca="1" si="1701"/>
        <v>0.9</v>
      </c>
      <c r="BM298" s="117">
        <f t="shared" ca="1" si="1701"/>
        <v>1</v>
      </c>
      <c r="BN298" s="117">
        <f t="shared" ca="1" si="1701"/>
        <v>1</v>
      </c>
      <c r="BO298" s="117">
        <f t="shared" ca="1" si="1701"/>
        <v>1</v>
      </c>
      <c r="BP298" s="117">
        <f t="shared" ca="1" si="1701"/>
        <v>1</v>
      </c>
      <c r="BQ298" s="117">
        <f t="shared" ca="1" si="1701"/>
        <v>0.9</v>
      </c>
      <c r="BR298" s="117">
        <f t="shared" ca="1" si="1701"/>
        <v>0.9</v>
      </c>
      <c r="BS298" s="117">
        <f t="shared" ca="1" si="1701"/>
        <v>1.3</v>
      </c>
      <c r="BT298" s="117">
        <f t="shared" ca="1" si="1701"/>
        <v>1.3</v>
      </c>
      <c r="BU298" s="117">
        <f t="shared" ca="1" si="1701"/>
        <v>1.3</v>
      </c>
      <c r="BV298" s="278">
        <f t="shared" ca="1" si="1701"/>
        <v>1.3</v>
      </c>
      <c r="BW298" s="280">
        <f t="shared" si="1421"/>
        <v>2</v>
      </c>
      <c r="BX298" s="118">
        <f>IF($AN298="Ya",100%,100%+extraDelayZ)</f>
        <v>1</v>
      </c>
      <c r="BY298" s="263">
        <f t="shared" ref="BY298:BY303" si="1717">(1+AA298)</f>
        <v>1</v>
      </c>
      <c r="BZ298" s="264">
        <f t="shared" ref="BZ298:BZ303" si="1718">(1+AB298)</f>
        <v>1</v>
      </c>
      <c r="CA298" s="264">
        <f t="shared" ref="CA298:CA303" si="1719">(1+AC298)</f>
        <v>1</v>
      </c>
      <c r="CB298" s="264">
        <f t="shared" ref="CB298:CB303" si="1720">(1+AD298)</f>
        <v>1</v>
      </c>
      <c r="CC298" s="264">
        <f t="shared" ref="CC298:CC303" si="1721">(1+AE298)</f>
        <v>1</v>
      </c>
      <c r="CD298" s="264">
        <f t="shared" ref="CD298:CD303" si="1722">(1+AF298)</f>
        <v>1</v>
      </c>
      <c r="CE298" s="264">
        <f t="shared" ref="CE298:CE303" si="1723">(1+AG298)</f>
        <v>1</v>
      </c>
      <c r="CF298" s="264">
        <f t="shared" ref="CF298:CF303" si="1724">(1+AH298)</f>
        <v>1</v>
      </c>
      <c r="CG298" s="264">
        <f t="shared" ref="CG298:CG303" si="1725">(1+AI298)</f>
        <v>1</v>
      </c>
      <c r="CH298" s="264">
        <f t="shared" ref="CH298:CH303" si="1726">(1+AJ298)</f>
        <v>1</v>
      </c>
      <c r="CI298" s="264">
        <f t="shared" ref="CI298:CI303" si="1727">(1+AK298)</f>
        <v>1</v>
      </c>
      <c r="CJ298" s="265">
        <f t="shared" ref="CJ298:CJ303" si="1728">(1+AL298)</f>
        <v>1</v>
      </c>
      <c r="CK298" s="269">
        <f t="array" ref="CK298">IF(ISERROR(SUM($K298:$V298*$BY298:$CJ298)/SUM($K298:$V298)),1,SUM($K298:$V298*$BY298:$CJ298)/SUM($K298:$V298))-1</f>
        <v>0</v>
      </c>
      <c r="CL298" s="234"/>
    </row>
    <row r="299" spans="1:90" ht="12.75" hidden="1" outlineLevel="1" x14ac:dyDescent="0.2">
      <c r="B299" s="404" t="str">
        <f t="shared" ca="1" si="1681"/>
        <v>Пакет "Охват 500К", 745х90</v>
      </c>
      <c r="C299" s="649" t="str">
        <f t="shared" ca="1" si="1682"/>
        <v>Пакет</v>
      </c>
      <c r="D299" s="405">
        <f t="shared" ca="1" si="1683"/>
        <v>400</v>
      </c>
      <c r="E299" s="405">
        <f t="shared" ca="1" si="1684"/>
        <v>400</v>
      </c>
      <c r="F299" s="405">
        <f t="shared" ca="1" si="1685"/>
        <v>400</v>
      </c>
      <c r="G299" s="406">
        <f t="shared" ca="1" si="1686"/>
        <v>200000</v>
      </c>
      <c r="H299" s="406">
        <f t="shared" ca="1" si="1687"/>
        <v>200000</v>
      </c>
      <c r="I299" s="406">
        <f t="shared" ca="1" si="1688"/>
        <v>0</v>
      </c>
      <c r="J299" s="407">
        <f t="shared" ca="1" si="1689"/>
        <v>0</v>
      </c>
      <c r="K299" s="408"/>
      <c r="L299" s="409"/>
      <c r="M299" s="409"/>
      <c r="N299" s="409"/>
      <c r="O299" s="409"/>
      <c r="P299" s="409"/>
      <c r="Q299" s="409"/>
      <c r="R299" s="409"/>
      <c r="S299" s="409"/>
      <c r="T299" s="409"/>
      <c r="U299" s="409"/>
      <c r="V299" s="410"/>
      <c r="W299" s="406">
        <f t="shared" ca="1" si="1714"/>
        <v>0</v>
      </c>
      <c r="X299" s="406"/>
      <c r="Y299" s="411"/>
      <c r="Z299" s="412">
        <f t="shared" si="1716"/>
        <v>0</v>
      </c>
      <c r="AA299" s="413"/>
      <c r="AB299" s="413"/>
      <c r="AC299" s="413"/>
      <c r="AD299" s="413"/>
      <c r="AE299" s="413"/>
      <c r="AF299" s="413"/>
      <c r="AG299" s="413"/>
      <c r="AH299" s="413"/>
      <c r="AI299" s="413"/>
      <c r="AJ299" s="413"/>
      <c r="AK299" s="413"/>
      <c r="AL299" s="413"/>
      <c r="AM299" s="572"/>
      <c r="AN299" s="351" t="s">
        <v>571</v>
      </c>
      <c r="AO299" s="351" t="str">
        <f t="shared" si="1419"/>
        <v>Disney.ru</v>
      </c>
      <c r="AP299" s="115">
        <f t="shared" si="1544"/>
        <v>7</v>
      </c>
      <c r="AQ299" s="31">
        <f t="shared" ca="1" si="1691"/>
        <v>0.25</v>
      </c>
      <c r="AR299" s="31">
        <f t="shared" ca="1" si="1691"/>
        <v>0.15</v>
      </c>
      <c r="AS299" s="35">
        <v>0</v>
      </c>
      <c r="AT299" s="229">
        <v>0</v>
      </c>
      <c r="AU299" s="344">
        <f t="shared" ca="1" si="1692"/>
        <v>400</v>
      </c>
      <c r="AV299" s="345">
        <f t="shared" ca="1" si="1693"/>
        <v>400</v>
      </c>
      <c r="AW299" s="346">
        <f t="shared" ca="1" si="1694"/>
        <v>400</v>
      </c>
      <c r="AX299" s="280"/>
      <c r="AY299" s="280"/>
      <c r="AZ299" s="347">
        <f t="shared" ca="1" si="1695"/>
        <v>200000</v>
      </c>
      <c r="BA299" s="348">
        <f t="shared" ca="1" si="1696"/>
        <v>200000</v>
      </c>
      <c r="BB299" s="347">
        <f t="shared" ca="1" si="1697"/>
        <v>500</v>
      </c>
      <c r="BC299" s="37" t="str">
        <f t="shared" ca="1" si="1697"/>
        <v>Пакет</v>
      </c>
      <c r="BD299" s="229" t="str">
        <f t="shared" ca="1" si="1698"/>
        <v>Пакет</v>
      </c>
      <c r="BE299" s="283">
        <f t="shared" ca="1" si="1420"/>
        <v>0</v>
      </c>
      <c r="BF299" s="347">
        <f t="array" aca="1" ref="BF299" ca="1">SUM($K299:$V299*$BK299:$BV299)*$AZ299</f>
        <v>0</v>
      </c>
      <c r="BG299" s="347">
        <f t="array" aca="1" ref="BG299" ca="1">SUM($K299:$V299*$BY299:$CJ299*$BK299:$BV299)*$AZ299*$BX299</f>
        <v>0</v>
      </c>
      <c r="BH299" s="347">
        <f t="array" aca="1" ref="BH299" ca="1">SUM($K299:$V299*$BY299:$CJ299*$BK299:$BV299)*(1-$BE299)*$AZ299*$BX299</f>
        <v>0</v>
      </c>
      <c r="BI299" s="350">
        <f t="shared" ca="1" si="1699"/>
        <v>0</v>
      </c>
      <c r="BJ299" s="275" t="str">
        <f t="shared" ca="1" si="1700"/>
        <v>Да</v>
      </c>
      <c r="BK299" s="116">
        <f t="shared" ca="1" si="1701"/>
        <v>0.8</v>
      </c>
      <c r="BL299" s="117">
        <f t="shared" ca="1" si="1701"/>
        <v>0.9</v>
      </c>
      <c r="BM299" s="117">
        <f t="shared" ca="1" si="1701"/>
        <v>1</v>
      </c>
      <c r="BN299" s="117">
        <f t="shared" ca="1" si="1701"/>
        <v>1</v>
      </c>
      <c r="BO299" s="117">
        <f t="shared" ca="1" si="1701"/>
        <v>1</v>
      </c>
      <c r="BP299" s="117">
        <f t="shared" ca="1" si="1701"/>
        <v>1</v>
      </c>
      <c r="BQ299" s="117">
        <f t="shared" ca="1" si="1701"/>
        <v>0.9</v>
      </c>
      <c r="BR299" s="117">
        <f t="shared" ca="1" si="1701"/>
        <v>0.9</v>
      </c>
      <c r="BS299" s="117">
        <f t="shared" ca="1" si="1701"/>
        <v>1.3</v>
      </c>
      <c r="BT299" s="117">
        <f t="shared" ca="1" si="1701"/>
        <v>1.3</v>
      </c>
      <c r="BU299" s="117">
        <f t="shared" ca="1" si="1701"/>
        <v>1.3</v>
      </c>
      <c r="BV299" s="278">
        <f t="shared" ca="1" si="1701"/>
        <v>1.3</v>
      </c>
      <c r="BW299" s="280">
        <f t="shared" si="1421"/>
        <v>3</v>
      </c>
      <c r="BX299" s="118">
        <f>IF($AN299="Ya",100%,100%+extraDelayZ)</f>
        <v>1</v>
      </c>
      <c r="BY299" s="263">
        <f t="shared" si="1717"/>
        <v>1</v>
      </c>
      <c r="BZ299" s="264">
        <f t="shared" si="1718"/>
        <v>1</v>
      </c>
      <c r="CA299" s="264">
        <f t="shared" si="1719"/>
        <v>1</v>
      </c>
      <c r="CB299" s="264">
        <f t="shared" si="1720"/>
        <v>1</v>
      </c>
      <c r="CC299" s="264">
        <f t="shared" si="1721"/>
        <v>1</v>
      </c>
      <c r="CD299" s="264">
        <f t="shared" si="1722"/>
        <v>1</v>
      </c>
      <c r="CE299" s="264">
        <f t="shared" si="1723"/>
        <v>1</v>
      </c>
      <c r="CF299" s="264">
        <f t="shared" si="1724"/>
        <v>1</v>
      </c>
      <c r="CG299" s="264">
        <f t="shared" si="1725"/>
        <v>1</v>
      </c>
      <c r="CH299" s="264">
        <f t="shared" si="1726"/>
        <v>1</v>
      </c>
      <c r="CI299" s="264">
        <f t="shared" si="1727"/>
        <v>1</v>
      </c>
      <c r="CJ299" s="265">
        <f t="shared" si="1728"/>
        <v>1</v>
      </c>
      <c r="CK299" s="269">
        <f t="array" ref="CK299">IF(ISERROR(SUM($K299:$V299*$BY299:$CJ299)/SUM($K299:$V299)),1,SUM($K299:$V299*$BY299:$CJ299)/SUM($K299:$V299))-1</f>
        <v>0</v>
      </c>
      <c r="CL299" s="234"/>
    </row>
    <row r="300" spans="1:90" ht="12.75" hidden="1" outlineLevel="1" x14ac:dyDescent="0.2">
      <c r="B300" s="404" t="str">
        <f t="shared" ca="1" si="1681"/>
        <v>Динамика, 745х90</v>
      </c>
      <c r="C300" s="649" t="str">
        <f t="shared" ca="1" si="1682"/>
        <v>х1000</v>
      </c>
      <c r="D300" s="405">
        <f t="shared" ca="1" si="1683"/>
        <v>450</v>
      </c>
      <c r="E300" s="405">
        <f t="shared" ca="1" si="1684"/>
        <v>450</v>
      </c>
      <c r="F300" s="405">
        <f t="shared" ca="1" si="1685"/>
        <v>450</v>
      </c>
      <c r="G300" s="406">
        <f t="shared" ca="1" si="1686"/>
        <v>450</v>
      </c>
      <c r="H300" s="406">
        <f t="shared" ca="1" si="1687"/>
        <v>450</v>
      </c>
      <c r="I300" s="406">
        <f t="shared" ca="1" si="1688"/>
        <v>0</v>
      </c>
      <c r="J300" s="407">
        <f t="shared" ca="1" si="1689"/>
        <v>0</v>
      </c>
      <c r="K300" s="408"/>
      <c r="L300" s="409"/>
      <c r="M300" s="409"/>
      <c r="N300" s="409"/>
      <c r="O300" s="409"/>
      <c r="P300" s="409"/>
      <c r="Q300" s="409"/>
      <c r="R300" s="409"/>
      <c r="S300" s="409"/>
      <c r="T300" s="409"/>
      <c r="U300" s="409"/>
      <c r="V300" s="410"/>
      <c r="W300" s="406">
        <f t="shared" ca="1" si="1714"/>
        <v>0</v>
      </c>
      <c r="X300" s="406"/>
      <c r="Y300" s="411"/>
      <c r="Z300" s="412">
        <f t="shared" si="1716"/>
        <v>0</v>
      </c>
      <c r="AA300" s="413"/>
      <c r="AB300" s="413"/>
      <c r="AC300" s="413"/>
      <c r="AD300" s="413"/>
      <c r="AE300" s="413"/>
      <c r="AF300" s="413"/>
      <c r="AG300" s="413"/>
      <c r="AH300" s="413"/>
      <c r="AI300" s="413"/>
      <c r="AJ300" s="413"/>
      <c r="AK300" s="413"/>
      <c r="AL300" s="413"/>
      <c r="AM300" s="572"/>
      <c r="AN300" s="351" t="s">
        <v>571</v>
      </c>
      <c r="AO300" s="351" t="str">
        <f t="shared" si="1419"/>
        <v>Disney.ru</v>
      </c>
      <c r="AP300" s="115">
        <f t="shared" si="1544"/>
        <v>7</v>
      </c>
      <c r="AQ300" s="31">
        <f t="shared" ca="1" si="1691"/>
        <v>0.25</v>
      </c>
      <c r="AR300" s="31">
        <f t="shared" ca="1" si="1691"/>
        <v>0.15</v>
      </c>
      <c r="AS300" s="35">
        <v>0</v>
      </c>
      <c r="AT300" s="229">
        <v>0</v>
      </c>
      <c r="AU300" s="344">
        <f t="shared" ca="1" si="1692"/>
        <v>450</v>
      </c>
      <c r="AV300" s="345">
        <f t="shared" ca="1" si="1693"/>
        <v>450</v>
      </c>
      <c r="AW300" s="346">
        <f t="shared" ca="1" si="1694"/>
        <v>450</v>
      </c>
      <c r="AX300" s="280"/>
      <c r="AY300" s="280"/>
      <c r="AZ300" s="347">
        <f t="shared" ca="1" si="1695"/>
        <v>450</v>
      </c>
      <c r="BA300" s="348">
        <f t="shared" ca="1" si="1696"/>
        <v>450</v>
      </c>
      <c r="BB300" s="347">
        <f t="shared" ca="1" si="1697"/>
        <v>1</v>
      </c>
      <c r="BC300" s="37" t="str">
        <f t="shared" ca="1" si="1697"/>
        <v>1000 контактов</v>
      </c>
      <c r="BD300" s="229" t="str">
        <f t="shared" ca="1" si="1698"/>
        <v>х1000</v>
      </c>
      <c r="BE300" s="283">
        <f t="shared" ca="1" si="1420"/>
        <v>0</v>
      </c>
      <c r="BF300" s="347">
        <f t="array" aca="1" ref="BF300" ca="1">SUM($K300:$V300*$BK300:$BV300)*$AZ300</f>
        <v>0</v>
      </c>
      <c r="BG300" s="347">
        <f t="array" aca="1" ref="BG300" ca="1">SUM($K300:$V300*$BY300:$CJ300*$BK300:$BV300)*$AZ300*$BX300</f>
        <v>0</v>
      </c>
      <c r="BH300" s="347">
        <f t="array" aca="1" ref="BH300" ca="1">SUM($K300:$V300*$BY300:$CJ300*$BK300:$BV300)*(1-$BE300)*$AZ300*$BX300</f>
        <v>0</v>
      </c>
      <c r="BI300" s="350">
        <f t="shared" ca="1" si="1699"/>
        <v>0</v>
      </c>
      <c r="BJ300" s="275" t="str">
        <f t="shared" ca="1" si="1700"/>
        <v>Да</v>
      </c>
      <c r="BK300" s="116">
        <f t="shared" ca="1" si="1701"/>
        <v>0.8</v>
      </c>
      <c r="BL300" s="117">
        <f t="shared" ca="1" si="1701"/>
        <v>0.9</v>
      </c>
      <c r="BM300" s="117">
        <f t="shared" ca="1" si="1701"/>
        <v>1</v>
      </c>
      <c r="BN300" s="117">
        <f t="shared" ca="1" si="1701"/>
        <v>1</v>
      </c>
      <c r="BO300" s="117">
        <f t="shared" ca="1" si="1701"/>
        <v>1</v>
      </c>
      <c r="BP300" s="117">
        <f t="shared" ca="1" si="1701"/>
        <v>1</v>
      </c>
      <c r="BQ300" s="117">
        <f t="shared" ca="1" si="1701"/>
        <v>0.9</v>
      </c>
      <c r="BR300" s="117">
        <f t="shared" ca="1" si="1701"/>
        <v>0.9</v>
      </c>
      <c r="BS300" s="117">
        <f t="shared" ca="1" si="1701"/>
        <v>1.3</v>
      </c>
      <c r="BT300" s="117">
        <f t="shared" ca="1" si="1701"/>
        <v>1.3</v>
      </c>
      <c r="BU300" s="117">
        <f t="shared" ca="1" si="1701"/>
        <v>1.3</v>
      </c>
      <c r="BV300" s="278">
        <f t="shared" ca="1" si="1701"/>
        <v>1.3</v>
      </c>
      <c r="BW300" s="280">
        <f t="shared" si="1421"/>
        <v>4</v>
      </c>
      <c r="BX300" s="118">
        <f>IF($AN300="Ya",100%,100%+extraDelayZ)</f>
        <v>1</v>
      </c>
      <c r="BY300" s="263">
        <f t="shared" si="1717"/>
        <v>1</v>
      </c>
      <c r="BZ300" s="264">
        <f t="shared" si="1718"/>
        <v>1</v>
      </c>
      <c r="CA300" s="264">
        <f t="shared" si="1719"/>
        <v>1</v>
      </c>
      <c r="CB300" s="264">
        <f t="shared" si="1720"/>
        <v>1</v>
      </c>
      <c r="CC300" s="264">
        <f t="shared" si="1721"/>
        <v>1</v>
      </c>
      <c r="CD300" s="264">
        <f t="shared" si="1722"/>
        <v>1</v>
      </c>
      <c r="CE300" s="264">
        <f t="shared" si="1723"/>
        <v>1</v>
      </c>
      <c r="CF300" s="264">
        <f t="shared" si="1724"/>
        <v>1</v>
      </c>
      <c r="CG300" s="264">
        <f t="shared" si="1725"/>
        <v>1</v>
      </c>
      <c r="CH300" s="264">
        <f t="shared" si="1726"/>
        <v>1</v>
      </c>
      <c r="CI300" s="264">
        <f t="shared" si="1727"/>
        <v>1</v>
      </c>
      <c r="CJ300" s="265">
        <f t="shared" si="1728"/>
        <v>1</v>
      </c>
      <c r="CK300" s="269">
        <f t="array" ref="CK300">IF(ISERROR(SUM($K300:$V300*$BY300:$CJ300)/SUM($K300:$V300)),1,SUM($K300:$V300*$BY300:$CJ300)/SUM($K300:$V300))-1</f>
        <v>0</v>
      </c>
      <c r="CL300" s="234"/>
    </row>
    <row r="301" spans="1:90" ht="12.75" hidden="1" outlineLevel="1" x14ac:dyDescent="0.2">
      <c r="B301" s="404" t="str">
        <f t="shared" ca="1" si="1681"/>
        <v>Пакет "Охват 500К", 240х400 или 200х300</v>
      </c>
      <c r="C301" s="649" t="str">
        <f t="shared" ca="1" si="1682"/>
        <v>Пакет</v>
      </c>
      <c r="D301" s="405">
        <f t="shared" ca="1" si="1683"/>
        <v>450</v>
      </c>
      <c r="E301" s="405">
        <f t="shared" ca="1" si="1684"/>
        <v>450</v>
      </c>
      <c r="F301" s="405">
        <f t="shared" ca="1" si="1685"/>
        <v>450</v>
      </c>
      <c r="G301" s="406">
        <f t="shared" ca="1" si="1686"/>
        <v>225000</v>
      </c>
      <c r="H301" s="406">
        <f t="shared" ca="1" si="1687"/>
        <v>225000</v>
      </c>
      <c r="I301" s="406">
        <f t="shared" ca="1" si="1688"/>
        <v>0</v>
      </c>
      <c r="J301" s="407">
        <f t="shared" ca="1" si="1689"/>
        <v>0</v>
      </c>
      <c r="K301" s="408"/>
      <c r="L301" s="409"/>
      <c r="M301" s="409"/>
      <c r="N301" s="409"/>
      <c r="O301" s="409"/>
      <c r="P301" s="409"/>
      <c r="Q301" s="409"/>
      <c r="R301" s="409"/>
      <c r="S301" s="409"/>
      <c r="T301" s="409"/>
      <c r="U301" s="409"/>
      <c r="V301" s="410"/>
      <c r="W301" s="406">
        <f t="shared" ca="1" si="1714"/>
        <v>0</v>
      </c>
      <c r="X301" s="406"/>
      <c r="Y301" s="411"/>
      <c r="Z301" s="412">
        <f t="shared" si="1716"/>
        <v>0</v>
      </c>
      <c r="AA301" s="413"/>
      <c r="AB301" s="413"/>
      <c r="AC301" s="413"/>
      <c r="AD301" s="413"/>
      <c r="AE301" s="413"/>
      <c r="AF301" s="413"/>
      <c r="AG301" s="413"/>
      <c r="AH301" s="413"/>
      <c r="AI301" s="413"/>
      <c r="AJ301" s="413"/>
      <c r="AK301" s="413"/>
      <c r="AL301" s="413"/>
      <c r="AM301" s="572"/>
      <c r="AN301" s="351" t="s">
        <v>571</v>
      </c>
      <c r="AO301" s="351" t="str">
        <f t="shared" si="1419"/>
        <v>Disney.ru</v>
      </c>
      <c r="AP301" s="115">
        <f t="shared" si="1544"/>
        <v>7</v>
      </c>
      <c r="AQ301" s="31">
        <f t="shared" ca="1" si="1691"/>
        <v>0.25</v>
      </c>
      <c r="AR301" s="31">
        <f t="shared" ca="1" si="1691"/>
        <v>0.15</v>
      </c>
      <c r="AS301" s="35">
        <v>0</v>
      </c>
      <c r="AT301" s="229">
        <v>0</v>
      </c>
      <c r="AU301" s="344">
        <f t="shared" ca="1" si="1692"/>
        <v>450</v>
      </c>
      <c r="AV301" s="345">
        <f t="shared" ca="1" si="1693"/>
        <v>450</v>
      </c>
      <c r="AW301" s="346">
        <f t="shared" ca="1" si="1694"/>
        <v>450</v>
      </c>
      <c r="AX301" s="280"/>
      <c r="AY301" s="280"/>
      <c r="AZ301" s="347">
        <f t="shared" ca="1" si="1695"/>
        <v>225000</v>
      </c>
      <c r="BA301" s="348">
        <f t="shared" ca="1" si="1696"/>
        <v>225000</v>
      </c>
      <c r="BB301" s="347">
        <f t="shared" ca="1" si="1697"/>
        <v>500</v>
      </c>
      <c r="BC301" s="37" t="str">
        <f t="shared" ca="1" si="1697"/>
        <v>Пакет</v>
      </c>
      <c r="BD301" s="229" t="str">
        <f t="shared" ca="1" si="1698"/>
        <v>Пакет</v>
      </c>
      <c r="BE301" s="283">
        <f t="shared" ca="1" si="1420"/>
        <v>0</v>
      </c>
      <c r="BF301" s="347">
        <f t="array" aca="1" ref="BF301" ca="1">SUM($K301:$V301*$BK301:$BV301)*$AZ301</f>
        <v>0</v>
      </c>
      <c r="BG301" s="347">
        <f t="array" aca="1" ref="BG301" ca="1">SUM($K301:$V301*$BY301:$CJ301*$BK301:$BV301)*$AZ301*$BX301</f>
        <v>0</v>
      </c>
      <c r="BH301" s="347">
        <f t="array" aca="1" ref="BH301" ca="1">SUM($K301:$V301*$BY301:$CJ301*$BK301:$BV301)*(1-$BE301)*$AZ301*$BX301</f>
        <v>0</v>
      </c>
      <c r="BI301" s="350">
        <f t="shared" ca="1" si="1699"/>
        <v>0</v>
      </c>
      <c r="BJ301" s="275" t="str">
        <f t="shared" ca="1" si="1700"/>
        <v>Да</v>
      </c>
      <c r="BK301" s="116">
        <f t="shared" ca="1" si="1701"/>
        <v>0.8</v>
      </c>
      <c r="BL301" s="117">
        <f t="shared" ca="1" si="1701"/>
        <v>0.9</v>
      </c>
      <c r="BM301" s="117">
        <f t="shared" ca="1" si="1701"/>
        <v>1</v>
      </c>
      <c r="BN301" s="117">
        <f t="shared" ca="1" si="1701"/>
        <v>1</v>
      </c>
      <c r="BO301" s="117">
        <f t="shared" ca="1" si="1701"/>
        <v>1</v>
      </c>
      <c r="BP301" s="117">
        <f t="shared" ca="1" si="1701"/>
        <v>1</v>
      </c>
      <c r="BQ301" s="117">
        <f t="shared" ca="1" si="1701"/>
        <v>0.9</v>
      </c>
      <c r="BR301" s="117">
        <f t="shared" ca="1" si="1701"/>
        <v>0.9</v>
      </c>
      <c r="BS301" s="117">
        <f t="shared" ca="1" si="1701"/>
        <v>1.3</v>
      </c>
      <c r="BT301" s="117">
        <f t="shared" ca="1" si="1701"/>
        <v>1.3</v>
      </c>
      <c r="BU301" s="117">
        <f t="shared" ca="1" si="1701"/>
        <v>1.3</v>
      </c>
      <c r="BV301" s="278">
        <f t="shared" ca="1" si="1701"/>
        <v>1.3</v>
      </c>
      <c r="BW301" s="280">
        <f t="shared" si="1421"/>
        <v>5</v>
      </c>
      <c r="BX301" s="118">
        <f>IF($AN301="Ya",100%,100%+extraDelayZ)</f>
        <v>1</v>
      </c>
      <c r="BY301" s="263">
        <f t="shared" si="1717"/>
        <v>1</v>
      </c>
      <c r="BZ301" s="264">
        <f t="shared" si="1718"/>
        <v>1</v>
      </c>
      <c r="CA301" s="264">
        <f t="shared" si="1719"/>
        <v>1</v>
      </c>
      <c r="CB301" s="264">
        <f t="shared" si="1720"/>
        <v>1</v>
      </c>
      <c r="CC301" s="264">
        <f t="shared" si="1721"/>
        <v>1</v>
      </c>
      <c r="CD301" s="264">
        <f t="shared" si="1722"/>
        <v>1</v>
      </c>
      <c r="CE301" s="264">
        <f t="shared" si="1723"/>
        <v>1</v>
      </c>
      <c r="CF301" s="264">
        <f t="shared" si="1724"/>
        <v>1</v>
      </c>
      <c r="CG301" s="264">
        <f t="shared" si="1725"/>
        <v>1</v>
      </c>
      <c r="CH301" s="264">
        <f t="shared" si="1726"/>
        <v>1</v>
      </c>
      <c r="CI301" s="264">
        <f t="shared" si="1727"/>
        <v>1</v>
      </c>
      <c r="CJ301" s="265">
        <f t="shared" si="1728"/>
        <v>1</v>
      </c>
      <c r="CK301" s="269">
        <f t="array" ref="CK301">IF(ISERROR(SUM($K301:$V301*$BY301:$CJ301)/SUM($K301:$V301)),1,SUM($K301:$V301*$BY301:$CJ301)/SUM($K301:$V301))-1</f>
        <v>0</v>
      </c>
      <c r="CL301" s="234"/>
    </row>
    <row r="302" spans="1:90" ht="12.75" hidden="1" outlineLevel="1" x14ac:dyDescent="0.2">
      <c r="B302" s="404" t="str">
        <f t="shared" ca="1" si="1681"/>
        <v>Динамика, 240х400 или 200х300</v>
      </c>
      <c r="C302" s="649" t="str">
        <f t="shared" ca="1" si="1682"/>
        <v>х1000</v>
      </c>
      <c r="D302" s="405">
        <f t="shared" ca="1" si="1683"/>
        <v>500</v>
      </c>
      <c r="E302" s="405">
        <f t="shared" ca="1" si="1684"/>
        <v>500</v>
      </c>
      <c r="F302" s="405">
        <f t="shared" ca="1" si="1685"/>
        <v>500</v>
      </c>
      <c r="G302" s="406">
        <f t="shared" ca="1" si="1686"/>
        <v>500</v>
      </c>
      <c r="H302" s="406">
        <f t="shared" ca="1" si="1687"/>
        <v>500</v>
      </c>
      <c r="I302" s="406">
        <f t="shared" ca="1" si="1688"/>
        <v>0</v>
      </c>
      <c r="J302" s="407">
        <f t="shared" ca="1" si="1689"/>
        <v>0</v>
      </c>
      <c r="K302" s="408"/>
      <c r="L302" s="409"/>
      <c r="M302" s="409"/>
      <c r="N302" s="409"/>
      <c r="O302" s="409"/>
      <c r="P302" s="409"/>
      <c r="Q302" s="409"/>
      <c r="R302" s="409"/>
      <c r="S302" s="409"/>
      <c r="T302" s="409"/>
      <c r="U302" s="409"/>
      <c r="V302" s="410"/>
      <c r="W302" s="406">
        <f t="shared" ca="1" si="1714"/>
        <v>0</v>
      </c>
      <c r="X302" s="406"/>
      <c r="Y302" s="411"/>
      <c r="Z302" s="412">
        <f t="shared" si="1716"/>
        <v>0</v>
      </c>
      <c r="AA302" s="413"/>
      <c r="AB302" s="413"/>
      <c r="AC302" s="413"/>
      <c r="AD302" s="413"/>
      <c r="AE302" s="413"/>
      <c r="AF302" s="413"/>
      <c r="AG302" s="413"/>
      <c r="AH302" s="413"/>
      <c r="AI302" s="413"/>
      <c r="AJ302" s="413"/>
      <c r="AK302" s="413"/>
      <c r="AL302" s="413"/>
      <c r="AM302" s="572"/>
      <c r="AN302" s="351" t="s">
        <v>571</v>
      </c>
      <c r="AO302" s="351" t="str">
        <f t="shared" si="1419"/>
        <v>Disney.ru</v>
      </c>
      <c r="AP302" s="115">
        <f t="shared" si="1544"/>
        <v>7</v>
      </c>
      <c r="AQ302" s="31">
        <f t="shared" ca="1" si="1691"/>
        <v>0.25</v>
      </c>
      <c r="AR302" s="31">
        <f t="shared" ca="1" si="1691"/>
        <v>0.15</v>
      </c>
      <c r="AS302" s="35">
        <v>0</v>
      </c>
      <c r="AT302" s="229">
        <v>0</v>
      </c>
      <c r="AU302" s="344">
        <f t="shared" ca="1" si="1692"/>
        <v>500</v>
      </c>
      <c r="AV302" s="345">
        <f t="shared" ca="1" si="1693"/>
        <v>500</v>
      </c>
      <c r="AW302" s="346">
        <f t="shared" ca="1" si="1694"/>
        <v>500</v>
      </c>
      <c r="AX302" s="280"/>
      <c r="AY302" s="280"/>
      <c r="AZ302" s="347">
        <f t="shared" ca="1" si="1695"/>
        <v>500</v>
      </c>
      <c r="BA302" s="348">
        <f t="shared" ca="1" si="1696"/>
        <v>500</v>
      </c>
      <c r="BB302" s="347">
        <f t="shared" ca="1" si="1697"/>
        <v>1</v>
      </c>
      <c r="BC302" s="37" t="str">
        <f t="shared" ca="1" si="1697"/>
        <v>1000 контактов</v>
      </c>
      <c r="BD302" s="229" t="str">
        <f t="shared" ca="1" si="1698"/>
        <v>х1000</v>
      </c>
      <c r="BE302" s="283">
        <f t="shared" ca="1" si="1420"/>
        <v>0</v>
      </c>
      <c r="BF302" s="347">
        <f t="array" aca="1" ref="BF302" ca="1">SUM($K302:$V302*$BK302:$BV302)*$AZ302</f>
        <v>0</v>
      </c>
      <c r="BG302" s="347">
        <f t="array" aca="1" ref="BG302" ca="1">SUM($K302:$V302*$BY302:$CJ302*$BK302:$BV302)*$AZ302*$BX302</f>
        <v>0</v>
      </c>
      <c r="BH302" s="347">
        <f t="array" aca="1" ref="BH302" ca="1">SUM($K302:$V302*$BY302:$CJ302*$BK302:$BV302)*(1-$BE302)*$AZ302*$BX302</f>
        <v>0</v>
      </c>
      <c r="BI302" s="350">
        <f t="shared" ca="1" si="1699"/>
        <v>0</v>
      </c>
      <c r="BJ302" s="275" t="str">
        <f t="shared" ca="1" si="1700"/>
        <v>Да</v>
      </c>
      <c r="BK302" s="116">
        <f t="shared" ca="1" si="1701"/>
        <v>0.8</v>
      </c>
      <c r="BL302" s="117">
        <f t="shared" ca="1" si="1701"/>
        <v>0.9</v>
      </c>
      <c r="BM302" s="117">
        <f t="shared" ca="1" si="1701"/>
        <v>1</v>
      </c>
      <c r="BN302" s="117">
        <f t="shared" ca="1" si="1701"/>
        <v>1</v>
      </c>
      <c r="BO302" s="117">
        <f t="shared" ca="1" si="1701"/>
        <v>1</v>
      </c>
      <c r="BP302" s="117">
        <f t="shared" ca="1" si="1701"/>
        <v>1</v>
      </c>
      <c r="BQ302" s="117">
        <f t="shared" ca="1" si="1701"/>
        <v>0.9</v>
      </c>
      <c r="BR302" s="117">
        <f t="shared" ca="1" si="1701"/>
        <v>0.9</v>
      </c>
      <c r="BS302" s="117">
        <f t="shared" ca="1" si="1701"/>
        <v>1.3</v>
      </c>
      <c r="BT302" s="117">
        <f t="shared" ca="1" si="1701"/>
        <v>1.3</v>
      </c>
      <c r="BU302" s="117">
        <f t="shared" ca="1" si="1701"/>
        <v>1.3</v>
      </c>
      <c r="BV302" s="278">
        <f t="shared" ca="1" si="1701"/>
        <v>1.3</v>
      </c>
      <c r="BW302" s="280">
        <f t="shared" si="1421"/>
        <v>6</v>
      </c>
      <c r="BX302" s="118">
        <f>IF($AN302="Ya",100%,100%+extraDelayZ)</f>
        <v>1</v>
      </c>
      <c r="BY302" s="263">
        <f t="shared" si="1717"/>
        <v>1</v>
      </c>
      <c r="BZ302" s="264">
        <f t="shared" si="1718"/>
        <v>1</v>
      </c>
      <c r="CA302" s="264">
        <f t="shared" si="1719"/>
        <v>1</v>
      </c>
      <c r="CB302" s="264">
        <f t="shared" si="1720"/>
        <v>1</v>
      </c>
      <c r="CC302" s="264">
        <f t="shared" si="1721"/>
        <v>1</v>
      </c>
      <c r="CD302" s="264">
        <f t="shared" si="1722"/>
        <v>1</v>
      </c>
      <c r="CE302" s="264">
        <f t="shared" si="1723"/>
        <v>1</v>
      </c>
      <c r="CF302" s="264">
        <f t="shared" si="1724"/>
        <v>1</v>
      </c>
      <c r="CG302" s="264">
        <f t="shared" si="1725"/>
        <v>1</v>
      </c>
      <c r="CH302" s="264">
        <f t="shared" si="1726"/>
        <v>1</v>
      </c>
      <c r="CI302" s="264">
        <f t="shared" si="1727"/>
        <v>1</v>
      </c>
      <c r="CJ302" s="265">
        <f t="shared" si="1728"/>
        <v>1</v>
      </c>
      <c r="CK302" s="269">
        <f t="array" ref="CK302">IF(ISERROR(SUM($K302:$V302*$BY302:$CJ302)/SUM($K302:$V302)),1,SUM($K302:$V302*$BY302:$CJ302)/SUM($K302:$V302))-1</f>
        <v>0</v>
      </c>
      <c r="CL302" s="234"/>
    </row>
    <row r="303" spans="1:90" ht="12.75" hidden="1" outlineLevel="1" x14ac:dyDescent="0.2">
      <c r="B303" s="414" t="str">
        <f t="shared" ca="1" si="1681"/>
        <v>Динамика, 300х250</v>
      </c>
      <c r="C303" s="649" t="str">
        <f t="shared" ca="1" si="1682"/>
        <v>х1000</v>
      </c>
      <c r="D303" s="415">
        <f t="shared" ca="1" si="1683"/>
        <v>400</v>
      </c>
      <c r="E303" s="415">
        <f t="shared" ca="1" si="1684"/>
        <v>400</v>
      </c>
      <c r="F303" s="415">
        <f t="shared" ca="1" si="1685"/>
        <v>400</v>
      </c>
      <c r="G303" s="416">
        <f t="shared" ca="1" si="1686"/>
        <v>400</v>
      </c>
      <c r="H303" s="416">
        <f t="shared" ca="1" si="1687"/>
        <v>400</v>
      </c>
      <c r="I303" s="406">
        <f t="shared" ca="1" si="1688"/>
        <v>0</v>
      </c>
      <c r="J303" s="407">
        <f t="shared" ca="1" si="1689"/>
        <v>0</v>
      </c>
      <c r="K303" s="417"/>
      <c r="L303" s="418"/>
      <c r="M303" s="418"/>
      <c r="N303" s="418"/>
      <c r="O303" s="418"/>
      <c r="P303" s="418"/>
      <c r="Q303" s="418"/>
      <c r="R303" s="418"/>
      <c r="S303" s="418"/>
      <c r="T303" s="418"/>
      <c r="U303" s="418"/>
      <c r="V303" s="419"/>
      <c r="W303" s="416">
        <f t="shared" ca="1" si="1714"/>
        <v>0</v>
      </c>
      <c r="X303" s="416"/>
      <c r="Y303" s="420"/>
      <c r="Z303" s="412">
        <f t="shared" si="1716"/>
        <v>0</v>
      </c>
      <c r="AA303" s="421"/>
      <c r="AB303" s="421"/>
      <c r="AC303" s="421"/>
      <c r="AD303" s="421"/>
      <c r="AE303" s="421"/>
      <c r="AF303" s="421"/>
      <c r="AG303" s="421"/>
      <c r="AH303" s="421"/>
      <c r="AI303" s="421"/>
      <c r="AJ303" s="421"/>
      <c r="AK303" s="421"/>
      <c r="AL303" s="421"/>
      <c r="AM303" s="573"/>
      <c r="AN303" s="351" t="s">
        <v>571</v>
      </c>
      <c r="AO303" s="351" t="str">
        <f t="shared" si="1419"/>
        <v>Disney.ru</v>
      </c>
      <c r="AP303" s="115">
        <f t="shared" si="1544"/>
        <v>7</v>
      </c>
      <c r="AQ303" s="31">
        <f t="shared" ca="1" si="1691"/>
        <v>0.25</v>
      </c>
      <c r="AR303" s="31">
        <f t="shared" ca="1" si="1691"/>
        <v>0.15</v>
      </c>
      <c r="AS303" s="35">
        <v>0</v>
      </c>
      <c r="AT303" s="229">
        <v>0</v>
      </c>
      <c r="AU303" s="344">
        <f t="shared" ca="1" si="1692"/>
        <v>400</v>
      </c>
      <c r="AV303" s="345">
        <f t="shared" ca="1" si="1693"/>
        <v>400</v>
      </c>
      <c r="AW303" s="346">
        <f t="shared" ca="1" si="1694"/>
        <v>400</v>
      </c>
      <c r="AX303" s="280"/>
      <c r="AY303" s="280"/>
      <c r="AZ303" s="347">
        <f t="shared" ca="1" si="1695"/>
        <v>400</v>
      </c>
      <c r="BA303" s="348">
        <f t="shared" ca="1" si="1696"/>
        <v>400</v>
      </c>
      <c r="BB303" s="347">
        <f t="shared" ca="1" si="1697"/>
        <v>1</v>
      </c>
      <c r="BC303" s="37" t="str">
        <f t="shared" ca="1" si="1697"/>
        <v>1000 контактов</v>
      </c>
      <c r="BD303" s="229" t="str">
        <f t="shared" ca="1" si="1698"/>
        <v>х1000</v>
      </c>
      <c r="BE303" s="283">
        <f t="shared" ca="1" si="1420"/>
        <v>0</v>
      </c>
      <c r="BF303" s="347">
        <f t="array" aca="1" ref="BF303" ca="1">SUM($K303:$V303*$BK303:$BV303)*$AZ303</f>
        <v>0</v>
      </c>
      <c r="BG303" s="347">
        <f t="array" aca="1" ref="BG303" ca="1">SUM($K303:$V303*$BY303:$CJ303*$BK303:$BV303)*$AZ303*$BX303</f>
        <v>0</v>
      </c>
      <c r="BH303" s="347">
        <f t="array" aca="1" ref="BH303" ca="1">SUM($K303:$V303*$BY303:$CJ303*$BK303:$BV303)*(1-$BE303)*$AZ303*$BX303</f>
        <v>0</v>
      </c>
      <c r="BI303" s="350">
        <f t="shared" ca="1" si="1699"/>
        <v>0</v>
      </c>
      <c r="BJ303" s="275" t="str">
        <f t="shared" ca="1" si="1700"/>
        <v>Да</v>
      </c>
      <c r="BK303" s="116">
        <f t="shared" ca="1" si="1701"/>
        <v>0.8</v>
      </c>
      <c r="BL303" s="117">
        <f t="shared" ca="1" si="1701"/>
        <v>0.9</v>
      </c>
      <c r="BM303" s="117">
        <f t="shared" ca="1" si="1701"/>
        <v>1</v>
      </c>
      <c r="BN303" s="117">
        <f t="shared" ca="1" si="1701"/>
        <v>1</v>
      </c>
      <c r="BO303" s="117">
        <f t="shared" ca="1" si="1701"/>
        <v>1</v>
      </c>
      <c r="BP303" s="117">
        <f t="shared" ca="1" si="1701"/>
        <v>1</v>
      </c>
      <c r="BQ303" s="117">
        <f t="shared" ca="1" si="1701"/>
        <v>0.9</v>
      </c>
      <c r="BR303" s="117">
        <f t="shared" ca="1" si="1701"/>
        <v>0.9</v>
      </c>
      <c r="BS303" s="117">
        <f t="shared" ca="1" si="1701"/>
        <v>1.3</v>
      </c>
      <c r="BT303" s="117">
        <f t="shared" ca="1" si="1701"/>
        <v>1.3</v>
      </c>
      <c r="BU303" s="117">
        <f t="shared" ca="1" si="1701"/>
        <v>1.3</v>
      </c>
      <c r="BV303" s="278">
        <f t="shared" ca="1" si="1701"/>
        <v>1.3</v>
      </c>
      <c r="BW303" s="280">
        <f t="shared" si="1421"/>
        <v>7</v>
      </c>
      <c r="BX303" s="118">
        <f>IF($AN303="Ya",100%,100%+extraDelayZ)</f>
        <v>1</v>
      </c>
      <c r="BY303" s="263">
        <f t="shared" si="1717"/>
        <v>1</v>
      </c>
      <c r="BZ303" s="264">
        <f t="shared" si="1718"/>
        <v>1</v>
      </c>
      <c r="CA303" s="264">
        <f t="shared" si="1719"/>
        <v>1</v>
      </c>
      <c r="CB303" s="264">
        <f t="shared" si="1720"/>
        <v>1</v>
      </c>
      <c r="CC303" s="264">
        <f t="shared" si="1721"/>
        <v>1</v>
      </c>
      <c r="CD303" s="264">
        <f t="shared" si="1722"/>
        <v>1</v>
      </c>
      <c r="CE303" s="264">
        <f t="shared" si="1723"/>
        <v>1</v>
      </c>
      <c r="CF303" s="264">
        <f t="shared" si="1724"/>
        <v>1</v>
      </c>
      <c r="CG303" s="264">
        <f t="shared" si="1725"/>
        <v>1</v>
      </c>
      <c r="CH303" s="264">
        <f t="shared" si="1726"/>
        <v>1</v>
      </c>
      <c r="CI303" s="264">
        <f t="shared" si="1727"/>
        <v>1</v>
      </c>
      <c r="CJ303" s="265">
        <f t="shared" si="1728"/>
        <v>1</v>
      </c>
      <c r="CK303" s="269">
        <f t="array" ref="CK303">IF(ISERROR(SUM($K303:$V303*$BY303:$CJ303)/SUM($K303:$V303)),1,SUM($K303:$V303*$BY303:$CJ303)/SUM($K303:$V303))-1</f>
        <v>0</v>
      </c>
      <c r="CL303" s="234"/>
    </row>
    <row r="304" spans="1:90" ht="15" collapsed="1" x14ac:dyDescent="0.2">
      <c r="A304" s="391"/>
      <c r="B304" s="392" t="str">
        <f>CONCATENATE($AO304,IF($AX304&gt;0,CONCATENATE("  (план ",TEXT(INDEX(indBudX,MATCH($AN304,indPrefixX,0)),"# ##0")," руб.)"),""))</f>
        <v>Echo.Msk.ru</v>
      </c>
      <c r="C304" s="650" t="s">
        <v>363</v>
      </c>
      <c r="D304" s="393"/>
      <c r="E304" s="394"/>
      <c r="F304" s="394"/>
      <c r="G304" s="395"/>
      <c r="H304" s="395"/>
      <c r="I304" s="395">
        <f t="shared" ca="1" si="1688"/>
        <v>0</v>
      </c>
      <c r="J304" s="396">
        <f ca="1">$BH304</f>
        <v>0</v>
      </c>
      <c r="K304" s="397"/>
      <c r="L304" s="398"/>
      <c r="M304" s="398"/>
      <c r="N304" s="398"/>
      <c r="O304" s="398"/>
      <c r="P304" s="398"/>
      <c r="Q304" s="398"/>
      <c r="R304" s="398"/>
      <c r="S304" s="398"/>
      <c r="T304" s="398"/>
      <c r="U304" s="398"/>
      <c r="V304" s="399"/>
      <c r="W304" s="395">
        <f t="shared" ca="1" si="1714"/>
        <v>0</v>
      </c>
      <c r="X304" s="576"/>
      <c r="Y304" s="400">
        <f ca="1">$BE304</f>
        <v>0</v>
      </c>
      <c r="Z304" s="401"/>
      <c r="AA304" s="402"/>
      <c r="AB304" s="402"/>
      <c r="AC304" s="402"/>
      <c r="AD304" s="402"/>
      <c r="AE304" s="402"/>
      <c r="AF304" s="402"/>
      <c r="AG304" s="402"/>
      <c r="AH304" s="402"/>
      <c r="AI304" s="402"/>
      <c r="AJ304" s="402"/>
      <c r="AK304" s="402"/>
      <c r="AL304" s="402"/>
      <c r="AM304" s="403"/>
      <c r="AN304" s="130" t="s">
        <v>130</v>
      </c>
      <c r="AO304" s="130" t="str">
        <f t="shared" si="1419"/>
        <v>Echo.Msk.ru</v>
      </c>
      <c r="AP304" s="119">
        <f t="shared" si="1544"/>
        <v>5</v>
      </c>
      <c r="AQ304" s="120"/>
      <c r="AR304" s="120"/>
      <c r="AS304" s="121"/>
      <c r="AT304" s="228"/>
      <c r="AU304" s="232"/>
      <c r="AV304" s="179"/>
      <c r="AW304" s="233"/>
      <c r="AX304" s="279">
        <f>IF(ISERROR(INDEX(indBudX,MATCH($AN304,indPrefixX,0))),0,INDEX(indBudX,MATCH($AN304,indPrefixX,0)))</f>
        <v>0</v>
      </c>
      <c r="AY304" s="279">
        <f>IF(ISNUMBER($X304),$X304,0)</f>
        <v>0</v>
      </c>
      <c r="AZ304" s="123"/>
      <c r="BA304" s="125"/>
      <c r="BB304" s="123"/>
      <c r="BC304" s="124"/>
      <c r="BD304" s="464"/>
      <c r="BE304" s="282">
        <f t="shared" ca="1" si="1420"/>
        <v>0</v>
      </c>
      <c r="BF304" s="123">
        <f t="shared" ref="BF304:BI304" ca="1" si="1729">SUM(OFFSET(BF304,1,0,$AP304-1,1))</f>
        <v>0</v>
      </c>
      <c r="BG304" s="123">
        <f t="shared" ca="1" si="1729"/>
        <v>0</v>
      </c>
      <c r="BH304" s="123">
        <f t="shared" ca="1" si="1729"/>
        <v>0</v>
      </c>
      <c r="BI304" s="273">
        <f t="shared" ca="1" si="1729"/>
        <v>0</v>
      </c>
      <c r="BJ304" s="274"/>
      <c r="BK304" s="126"/>
      <c r="BL304" s="127"/>
      <c r="BM304" s="127"/>
      <c r="BN304" s="127"/>
      <c r="BO304" s="127"/>
      <c r="BP304" s="127"/>
      <c r="BQ304" s="127"/>
      <c r="BR304" s="127"/>
      <c r="BS304" s="127"/>
      <c r="BT304" s="127"/>
      <c r="BU304" s="127"/>
      <c r="BV304" s="277"/>
      <c r="BW304" s="279">
        <f t="shared" si="1421"/>
        <v>1</v>
      </c>
      <c r="BX304" s="128"/>
      <c r="BY304" s="260"/>
      <c r="BZ304" s="261"/>
      <c r="CA304" s="261"/>
      <c r="CB304" s="261"/>
      <c r="CC304" s="261"/>
      <c r="CD304" s="261"/>
      <c r="CE304" s="261"/>
      <c r="CF304" s="261"/>
      <c r="CG304" s="261"/>
      <c r="CH304" s="261"/>
      <c r="CI304" s="261"/>
      <c r="CJ304" s="262"/>
      <c r="CK304" s="270"/>
      <c r="CL304" s="234"/>
    </row>
    <row r="305" spans="1:90" ht="12.75" hidden="1" outlineLevel="1" x14ac:dyDescent="0.2">
      <c r="B305" s="404" t="str">
        <f t="shared" ref="B305:B308" ca="1" si="1730">INDEX(INDIRECT(LOWER($AN305)&amp;"Price"),$BW305,2)</f>
        <v>Пакет "Охват 1000К", 240x400</v>
      </c>
      <c r="C305" s="649" t="str">
        <f t="shared" ref="C305:C308" ca="1" si="1731">$BD305</f>
        <v>Пакет</v>
      </c>
      <c r="D305" s="405">
        <f t="shared" ref="D305:D308" ca="1" si="1732">$AU305</f>
        <v>200</v>
      </c>
      <c r="E305" s="405">
        <f t="shared" ref="E305:E308" ca="1" si="1733">$AV305</f>
        <v>200</v>
      </c>
      <c r="F305" s="405">
        <f t="shared" ref="F305:F308" ca="1" si="1734">$AW305</f>
        <v>200</v>
      </c>
      <c r="G305" s="406">
        <f t="shared" ref="G305:G308" ca="1" si="1735">$AZ305</f>
        <v>200000</v>
      </c>
      <c r="H305" s="406">
        <f t="shared" ref="H305:H308" ca="1" si="1736">$BA305</f>
        <v>200000</v>
      </c>
      <c r="I305" s="406">
        <f t="shared" ref="I305:I308" ca="1" si="1737">$BG305</f>
        <v>0</v>
      </c>
      <c r="J305" s="407">
        <f t="shared" ref="J305:J308" ca="1" si="1738">$BH305</f>
        <v>0</v>
      </c>
      <c r="K305" s="617"/>
      <c r="L305" s="618"/>
      <c r="M305" s="618"/>
      <c r="N305" s="618"/>
      <c r="O305" s="618"/>
      <c r="P305" s="618"/>
      <c r="Q305" s="618"/>
      <c r="R305" s="618"/>
      <c r="S305" s="618"/>
      <c r="T305" s="618"/>
      <c r="U305" s="618"/>
      <c r="V305" s="619"/>
      <c r="W305" s="406">
        <f t="shared" ca="1" si="1714"/>
        <v>0</v>
      </c>
      <c r="X305" s="406"/>
      <c r="Y305" s="411"/>
      <c r="Z305" s="412">
        <f t="shared" ref="Z305:Z308" si="1739">CK305</f>
        <v>0</v>
      </c>
      <c r="AA305" s="620"/>
      <c r="AB305" s="620"/>
      <c r="AC305" s="620"/>
      <c r="AD305" s="620"/>
      <c r="AE305" s="620"/>
      <c r="AF305" s="620"/>
      <c r="AG305" s="620"/>
      <c r="AH305" s="620"/>
      <c r="AI305" s="620"/>
      <c r="AJ305" s="620"/>
      <c r="AK305" s="620"/>
      <c r="AL305" s="620"/>
      <c r="AM305" s="621"/>
      <c r="AN305" s="351" t="s">
        <v>130</v>
      </c>
      <c r="AO305" s="351" t="str">
        <f t="shared" si="1419"/>
        <v>Echo.Msk.ru</v>
      </c>
      <c r="AP305" s="115">
        <f t="shared" si="1544"/>
        <v>5</v>
      </c>
      <c r="AQ305" s="31" t="str">
        <f t="shared" ref="AQ305:AR308" ca="1" si="1740">HLOOKUP(AQ$10,INDIRECT(LOWER($AN305)&amp;"Price"),$BW305,FALSE)</f>
        <v>-</v>
      </c>
      <c r="AR305" s="31" t="str">
        <f t="shared" ca="1" si="1740"/>
        <v>-</v>
      </c>
      <c r="AS305" s="35">
        <v>0</v>
      </c>
      <c r="AT305" s="229">
        <v>0</v>
      </c>
      <c r="AU305" s="344">
        <f t="shared" ref="AU305:AU308" ca="1" si="1741">HLOOKUP(AU$10,INDIRECT(LOWER($AN305)&amp;"Price"),$BW305,FALSE)</f>
        <v>200</v>
      </c>
      <c r="AV305" s="345">
        <f t="shared" ref="AV305:AV308" ca="1" si="1742">IF(ISERROR($BG305/$BI305),$AU305,$BG305/$BI305)</f>
        <v>200</v>
      </c>
      <c r="AW305" s="346">
        <f t="shared" ref="AW305:AW308" ca="1" si="1743">$AV305*(1-$BE305)</f>
        <v>200</v>
      </c>
      <c r="AX305" s="280"/>
      <c r="AY305" s="280"/>
      <c r="AZ305" s="347">
        <f t="shared" ref="AZ305:AZ308" ca="1" si="1744">HLOOKUP(AZ$10,INDIRECT(LOWER($AN305)&amp;"Price"),$BW305,FALSE)</f>
        <v>200000</v>
      </c>
      <c r="BA305" s="348">
        <f t="shared" ref="BA305:BA308" ca="1" si="1745">$AZ305*(1-$BE305)</f>
        <v>200000</v>
      </c>
      <c r="BB305" s="347">
        <f t="shared" ref="BB305:BC308" ca="1" si="1746">HLOOKUP(BB$10,INDIRECT(LOWER($AN305)&amp;"Price"),$BW305,FALSE)</f>
        <v>1000</v>
      </c>
      <c r="BC305" s="37" t="str">
        <f t="shared" ca="1" si="1746"/>
        <v>Пакет</v>
      </c>
      <c r="BD305" s="229" t="str">
        <f t="shared" ref="BD305:BD308" ca="1" si="1747">IF(ISERROR(VLOOKUP($BC305,typeIndexPair,2,FALSE)),"",VLOOKUP($BC305,typeIndexPair,2,FALSE))</f>
        <v>Пакет</v>
      </c>
      <c r="BE305" s="283">
        <f t="shared" ca="1" si="1420"/>
        <v>0</v>
      </c>
      <c r="BF305" s="347">
        <f t="array" aca="1" ref="BF305" ca="1">SUM($K305:$V305*$BK305:$BV305)*$AZ305</f>
        <v>0</v>
      </c>
      <c r="BG305" s="347">
        <f t="array" aca="1" ref="BG305" ca="1">SUM($K305:$V305*$BY305:$CJ305*$BK305:$BV305)*$AZ305*$BX305</f>
        <v>0</v>
      </c>
      <c r="BH305" s="347">
        <f t="array" aca="1" ref="BH305" ca="1">SUM($K305:$V305*$BY305:$CJ305*$BK305:$BV305)*(1-$BE305)*$AZ305*$BX305</f>
        <v>0</v>
      </c>
      <c r="BI305" s="350">
        <f t="shared" ref="BI305:BI308" ca="1" si="1748">SUM($K305:$V305)*$BB305</f>
        <v>0</v>
      </c>
      <c r="BJ305" s="275" t="str">
        <f ca="1">IF(ISERROR(HLOOKUP(BJ$10,INDIRECT(LOWER($AN305)&amp;"Price"),$BW305,FALSE)),"Да",HLOOKUP(BJ$10,INDIRECT(LOWER($AN305)&amp;"Price"),$BW305,FALSE))</f>
        <v>Да</v>
      </c>
      <c r="BK305" s="116">
        <f t="shared" ref="BK305:BV308" ca="1" si="1749">IF($BJ305="Особ.",INDEX(INDIRECT(LOWER($AN305)&amp;"Season2"),BK$9),IF($BJ305="Да",INDEX(INDIRECT(LOWER($AN305)&amp;"Season"),BK$9),100%))</f>
        <v>0.8</v>
      </c>
      <c r="BL305" s="117">
        <f t="shared" ca="1" si="1749"/>
        <v>0.9</v>
      </c>
      <c r="BM305" s="117">
        <f t="shared" ca="1" si="1749"/>
        <v>1</v>
      </c>
      <c r="BN305" s="117">
        <f t="shared" ca="1" si="1749"/>
        <v>1</v>
      </c>
      <c r="BO305" s="117">
        <f t="shared" ca="1" si="1749"/>
        <v>1</v>
      </c>
      <c r="BP305" s="117">
        <f t="shared" ca="1" si="1749"/>
        <v>1</v>
      </c>
      <c r="BQ305" s="117">
        <f t="shared" ca="1" si="1749"/>
        <v>0.9</v>
      </c>
      <c r="BR305" s="117">
        <f t="shared" ca="1" si="1749"/>
        <v>0.9</v>
      </c>
      <c r="BS305" s="117">
        <f t="shared" ca="1" si="1749"/>
        <v>1.3</v>
      </c>
      <c r="BT305" s="117">
        <f t="shared" ca="1" si="1749"/>
        <v>1.3</v>
      </c>
      <c r="BU305" s="117">
        <f t="shared" ca="1" si="1749"/>
        <v>1.3</v>
      </c>
      <c r="BV305" s="278">
        <f t="shared" ca="1" si="1749"/>
        <v>1.3</v>
      </c>
      <c r="BW305" s="280">
        <f t="shared" si="1421"/>
        <v>2</v>
      </c>
      <c r="BX305" s="118">
        <f>IF($AN305="Ya",100%,100%+extraDelayZ)</f>
        <v>1</v>
      </c>
      <c r="BY305" s="263">
        <f t="shared" ref="BY305:BY308" si="1750">(1+AA305)</f>
        <v>1</v>
      </c>
      <c r="BZ305" s="264">
        <f t="shared" ref="BZ305:BZ308" si="1751">(1+AB305)</f>
        <v>1</v>
      </c>
      <c r="CA305" s="264">
        <f t="shared" ref="CA305:CA308" si="1752">(1+AC305)</f>
        <v>1</v>
      </c>
      <c r="CB305" s="264">
        <f t="shared" ref="CB305:CB308" si="1753">(1+AD305)</f>
        <v>1</v>
      </c>
      <c r="CC305" s="264">
        <f t="shared" ref="CC305:CC308" si="1754">(1+AE305)</f>
        <v>1</v>
      </c>
      <c r="CD305" s="264">
        <f t="shared" ref="CD305:CD308" si="1755">(1+AF305)</f>
        <v>1</v>
      </c>
      <c r="CE305" s="264">
        <f t="shared" ref="CE305:CE308" si="1756">(1+AG305)</f>
        <v>1</v>
      </c>
      <c r="CF305" s="264">
        <f t="shared" ref="CF305:CF308" si="1757">(1+AH305)</f>
        <v>1</v>
      </c>
      <c r="CG305" s="264">
        <f t="shared" ref="CG305:CG308" si="1758">(1+AI305)</f>
        <v>1</v>
      </c>
      <c r="CH305" s="264">
        <f t="shared" ref="CH305:CH308" si="1759">(1+AJ305)</f>
        <v>1</v>
      </c>
      <c r="CI305" s="264">
        <f t="shared" ref="CI305:CI308" si="1760">(1+AK305)</f>
        <v>1</v>
      </c>
      <c r="CJ305" s="265">
        <f t="shared" ref="CJ305:CJ308" si="1761">(1+AL305)</f>
        <v>1</v>
      </c>
      <c r="CK305" s="269">
        <f t="array" ref="CK305">IF(ISERROR(SUM($K305:$V305*$BY305:$CJ305)/SUM($K305:$V305)),1,SUM($K305:$V305*$BY305:$CJ305)/SUM($K305:$V305))-1</f>
        <v>0</v>
      </c>
      <c r="CL305" s="234"/>
    </row>
    <row r="306" spans="1:90" ht="12.75" hidden="1" outlineLevel="1" x14ac:dyDescent="0.2">
      <c r="B306" s="404" t="str">
        <f t="shared" ca="1" si="1730"/>
        <v>Пакет "Бизнес", 240x400</v>
      </c>
      <c r="C306" s="649" t="str">
        <f t="shared" ca="1" si="1731"/>
        <v>Пакет</v>
      </c>
      <c r="D306" s="405">
        <f t="shared" ca="1" si="1732"/>
        <v>250</v>
      </c>
      <c r="E306" s="405">
        <f t="shared" ca="1" si="1733"/>
        <v>250</v>
      </c>
      <c r="F306" s="405">
        <f t="shared" ca="1" si="1734"/>
        <v>250</v>
      </c>
      <c r="G306" s="406">
        <f t="shared" ca="1" si="1735"/>
        <v>125000</v>
      </c>
      <c r="H306" s="406">
        <f t="shared" ca="1" si="1736"/>
        <v>125000</v>
      </c>
      <c r="I306" s="406">
        <f t="shared" ca="1" si="1737"/>
        <v>0</v>
      </c>
      <c r="J306" s="407">
        <f t="shared" ca="1" si="1738"/>
        <v>0</v>
      </c>
      <c r="K306" s="617"/>
      <c r="L306" s="618"/>
      <c r="M306" s="618"/>
      <c r="N306" s="618"/>
      <c r="O306" s="618"/>
      <c r="P306" s="618"/>
      <c r="Q306" s="618"/>
      <c r="R306" s="618"/>
      <c r="S306" s="618"/>
      <c r="T306" s="618"/>
      <c r="U306" s="618"/>
      <c r="V306" s="619"/>
      <c r="W306" s="406">
        <f t="shared" ca="1" si="1714"/>
        <v>0</v>
      </c>
      <c r="X306" s="406"/>
      <c r="Y306" s="411"/>
      <c r="Z306" s="412">
        <f t="shared" si="1739"/>
        <v>0</v>
      </c>
      <c r="AA306" s="620"/>
      <c r="AB306" s="620"/>
      <c r="AC306" s="620"/>
      <c r="AD306" s="620"/>
      <c r="AE306" s="620"/>
      <c r="AF306" s="620"/>
      <c r="AG306" s="620"/>
      <c r="AH306" s="620"/>
      <c r="AI306" s="620"/>
      <c r="AJ306" s="620"/>
      <c r="AK306" s="620"/>
      <c r="AL306" s="620"/>
      <c r="AM306" s="621"/>
      <c r="AN306" s="351" t="s">
        <v>130</v>
      </c>
      <c r="AO306" s="351" t="str">
        <f t="shared" ref="AO306:AO340" si="1762">INDEX(indSiteX,MATCH($AN306,indPrefixX,0))</f>
        <v>Echo.Msk.ru</v>
      </c>
      <c r="AP306" s="115">
        <f t="shared" si="1544"/>
        <v>5</v>
      </c>
      <c r="AQ306" s="31" t="str">
        <f t="shared" ca="1" si="1740"/>
        <v>Вкл</v>
      </c>
      <c r="AR306" s="31" t="str">
        <f t="shared" ca="1" si="1740"/>
        <v>-</v>
      </c>
      <c r="AS306" s="35">
        <v>0</v>
      </c>
      <c r="AT306" s="229">
        <v>0</v>
      </c>
      <c r="AU306" s="344">
        <f t="shared" ca="1" si="1741"/>
        <v>250</v>
      </c>
      <c r="AV306" s="345">
        <f t="shared" ca="1" si="1742"/>
        <v>250</v>
      </c>
      <c r="AW306" s="346">
        <f t="shared" ca="1" si="1743"/>
        <v>250</v>
      </c>
      <c r="AX306" s="280"/>
      <c r="AY306" s="280"/>
      <c r="AZ306" s="347">
        <f t="shared" ca="1" si="1744"/>
        <v>125000</v>
      </c>
      <c r="BA306" s="348">
        <f t="shared" ca="1" si="1745"/>
        <v>125000</v>
      </c>
      <c r="BB306" s="347">
        <f t="shared" ca="1" si="1746"/>
        <v>500</v>
      </c>
      <c r="BC306" s="37" t="str">
        <f t="shared" ca="1" si="1746"/>
        <v>Пакет</v>
      </c>
      <c r="BD306" s="229" t="str">
        <f t="shared" ca="1" si="1747"/>
        <v>Пакет</v>
      </c>
      <c r="BE306" s="283">
        <f t="shared" ref="BE306:BE340" ca="1" si="1763">INDEX(indDiscZX,MATCH($AN306,indPrefixX,0))</f>
        <v>0</v>
      </c>
      <c r="BF306" s="347">
        <f t="array" aca="1" ref="BF306" ca="1">SUM($K306:$V306*$BK306:$BV306)*$AZ306</f>
        <v>0</v>
      </c>
      <c r="BG306" s="347">
        <f t="array" aca="1" ref="BG306" ca="1">SUM($K306:$V306*$BY306:$CJ306*$BK306:$BV306)*$AZ306*$BX306</f>
        <v>0</v>
      </c>
      <c r="BH306" s="347">
        <f t="array" aca="1" ref="BH306" ca="1">SUM($K306:$V306*$BY306:$CJ306*$BK306:$BV306)*(1-$BE306)*$AZ306*$BX306</f>
        <v>0</v>
      </c>
      <c r="BI306" s="350">
        <f t="shared" ca="1" si="1748"/>
        <v>0</v>
      </c>
      <c r="BJ306" s="275" t="str">
        <f ca="1">IF(ISERROR(HLOOKUP(BJ$10,INDIRECT(LOWER($AN306)&amp;"Price"),$BW306,FALSE)),"Да",HLOOKUP(BJ$10,INDIRECT(LOWER($AN306)&amp;"Price"),$BW306,FALSE))</f>
        <v>Да</v>
      </c>
      <c r="BK306" s="116">
        <f t="shared" ca="1" si="1749"/>
        <v>0.8</v>
      </c>
      <c r="BL306" s="117">
        <f t="shared" ca="1" si="1749"/>
        <v>0.9</v>
      </c>
      <c r="BM306" s="117">
        <f t="shared" ca="1" si="1749"/>
        <v>1</v>
      </c>
      <c r="BN306" s="117">
        <f t="shared" ca="1" si="1749"/>
        <v>1</v>
      </c>
      <c r="BO306" s="117">
        <f t="shared" ca="1" si="1749"/>
        <v>1</v>
      </c>
      <c r="BP306" s="117">
        <f t="shared" ca="1" si="1749"/>
        <v>1</v>
      </c>
      <c r="BQ306" s="117">
        <f t="shared" ca="1" si="1749"/>
        <v>0.9</v>
      </c>
      <c r="BR306" s="117">
        <f t="shared" ca="1" si="1749"/>
        <v>0.9</v>
      </c>
      <c r="BS306" s="117">
        <f t="shared" ca="1" si="1749"/>
        <v>1.3</v>
      </c>
      <c r="BT306" s="117">
        <f t="shared" ca="1" si="1749"/>
        <v>1.3</v>
      </c>
      <c r="BU306" s="117">
        <f t="shared" ca="1" si="1749"/>
        <v>1.3</v>
      </c>
      <c r="BV306" s="278">
        <f t="shared" ca="1" si="1749"/>
        <v>1.3</v>
      </c>
      <c r="BW306" s="280">
        <f t="shared" ref="BW306:BW340" si="1764">ROW()-MATCH($AO306,resList,0)+1</f>
        <v>3</v>
      </c>
      <c r="BX306" s="118">
        <f>IF($AN306="Ya",100%,100%+extraDelayZ)</f>
        <v>1</v>
      </c>
      <c r="BY306" s="263">
        <f t="shared" si="1750"/>
        <v>1</v>
      </c>
      <c r="BZ306" s="264">
        <f t="shared" si="1751"/>
        <v>1</v>
      </c>
      <c r="CA306" s="264">
        <f t="shared" si="1752"/>
        <v>1</v>
      </c>
      <c r="CB306" s="264">
        <f t="shared" si="1753"/>
        <v>1</v>
      </c>
      <c r="CC306" s="264">
        <f t="shared" si="1754"/>
        <v>1</v>
      </c>
      <c r="CD306" s="264">
        <f t="shared" si="1755"/>
        <v>1</v>
      </c>
      <c r="CE306" s="264">
        <f t="shared" si="1756"/>
        <v>1</v>
      </c>
      <c r="CF306" s="264">
        <f t="shared" si="1757"/>
        <v>1</v>
      </c>
      <c r="CG306" s="264">
        <f t="shared" si="1758"/>
        <v>1</v>
      </c>
      <c r="CH306" s="264">
        <f t="shared" si="1759"/>
        <v>1</v>
      </c>
      <c r="CI306" s="264">
        <f t="shared" si="1760"/>
        <v>1</v>
      </c>
      <c r="CJ306" s="265">
        <f t="shared" si="1761"/>
        <v>1</v>
      </c>
      <c r="CK306" s="269">
        <f t="array" ref="CK306">IF(ISERROR(SUM($K306:$V306*$BY306:$CJ306)/SUM($K306:$V306)),1,SUM($K306:$V306*$BY306:$CJ306)/SUM($K306:$V306))-1</f>
        <v>0</v>
      </c>
      <c r="CL306" s="234"/>
    </row>
    <row r="307" spans="1:90" ht="12.75" hidden="1" outlineLevel="1" x14ac:dyDescent="0.2">
      <c r="B307" s="404" t="str">
        <f t="shared" ca="1" si="1730"/>
        <v>Пакет "Москва", 240x400</v>
      </c>
      <c r="C307" s="649" t="str">
        <f t="shared" ca="1" si="1731"/>
        <v>Пакет</v>
      </c>
      <c r="D307" s="405">
        <f t="shared" ca="1" si="1732"/>
        <v>300</v>
      </c>
      <c r="E307" s="405">
        <f t="shared" ca="1" si="1733"/>
        <v>300</v>
      </c>
      <c r="F307" s="405">
        <f t="shared" ca="1" si="1734"/>
        <v>300</v>
      </c>
      <c r="G307" s="406">
        <f t="shared" ca="1" si="1735"/>
        <v>150000</v>
      </c>
      <c r="H307" s="406">
        <f t="shared" ca="1" si="1736"/>
        <v>150000</v>
      </c>
      <c r="I307" s="406">
        <f t="shared" ca="1" si="1737"/>
        <v>0</v>
      </c>
      <c r="J307" s="407">
        <f t="shared" ca="1" si="1738"/>
        <v>0</v>
      </c>
      <c r="K307" s="617"/>
      <c r="L307" s="618"/>
      <c r="M307" s="618"/>
      <c r="N307" s="618"/>
      <c r="O307" s="618"/>
      <c r="P307" s="618"/>
      <c r="Q307" s="618"/>
      <c r="R307" s="618"/>
      <c r="S307" s="618"/>
      <c r="T307" s="618"/>
      <c r="U307" s="618"/>
      <c r="V307" s="619"/>
      <c r="W307" s="406">
        <f t="shared" ca="1" si="1714"/>
        <v>0</v>
      </c>
      <c r="X307" s="406"/>
      <c r="Y307" s="411"/>
      <c r="Z307" s="412">
        <f t="shared" si="1739"/>
        <v>0</v>
      </c>
      <c r="AA307" s="620"/>
      <c r="AB307" s="620"/>
      <c r="AC307" s="620"/>
      <c r="AD307" s="620"/>
      <c r="AE307" s="620"/>
      <c r="AF307" s="620"/>
      <c r="AG307" s="620"/>
      <c r="AH307" s="620"/>
      <c r="AI307" s="620"/>
      <c r="AJ307" s="620"/>
      <c r="AK307" s="620"/>
      <c r="AL307" s="620"/>
      <c r="AM307" s="621"/>
      <c r="AN307" s="351" t="s">
        <v>130</v>
      </c>
      <c r="AO307" s="351" t="str">
        <f t="shared" si="1762"/>
        <v>Echo.Msk.ru</v>
      </c>
      <c r="AP307" s="115">
        <f t="shared" si="1544"/>
        <v>5</v>
      </c>
      <c r="AQ307" s="31" t="str">
        <f t="shared" ca="1" si="1740"/>
        <v>Вкл</v>
      </c>
      <c r="AR307" s="31" t="str">
        <f t="shared" ca="1" si="1740"/>
        <v>-</v>
      </c>
      <c r="AS307" s="35">
        <v>0</v>
      </c>
      <c r="AT307" s="229">
        <v>0</v>
      </c>
      <c r="AU307" s="344">
        <f t="shared" ca="1" si="1741"/>
        <v>300</v>
      </c>
      <c r="AV307" s="345">
        <f t="shared" ca="1" si="1742"/>
        <v>300</v>
      </c>
      <c r="AW307" s="346">
        <f t="shared" ca="1" si="1743"/>
        <v>300</v>
      </c>
      <c r="AX307" s="280"/>
      <c r="AY307" s="280"/>
      <c r="AZ307" s="347">
        <f t="shared" ca="1" si="1744"/>
        <v>150000</v>
      </c>
      <c r="BA307" s="348">
        <f t="shared" ca="1" si="1745"/>
        <v>150000</v>
      </c>
      <c r="BB307" s="347">
        <f t="shared" ca="1" si="1746"/>
        <v>500</v>
      </c>
      <c r="BC307" s="37" t="str">
        <f t="shared" ca="1" si="1746"/>
        <v>Пакет</v>
      </c>
      <c r="BD307" s="229" t="str">
        <f t="shared" ca="1" si="1747"/>
        <v>Пакет</v>
      </c>
      <c r="BE307" s="283">
        <f t="shared" ca="1" si="1763"/>
        <v>0</v>
      </c>
      <c r="BF307" s="347">
        <f t="array" aca="1" ref="BF307" ca="1">SUM($K307:$V307*$BK307:$BV307)*$AZ307</f>
        <v>0</v>
      </c>
      <c r="BG307" s="347">
        <f t="array" aca="1" ref="BG307" ca="1">SUM($K307:$V307*$BY307:$CJ307*$BK307:$BV307)*$AZ307*$BX307</f>
        <v>0</v>
      </c>
      <c r="BH307" s="347">
        <f t="array" aca="1" ref="BH307" ca="1">SUM($K307:$V307*$BY307:$CJ307*$BK307:$BV307)*(1-$BE307)*$AZ307*$BX307</f>
        <v>0</v>
      </c>
      <c r="BI307" s="350">
        <f t="shared" ca="1" si="1748"/>
        <v>0</v>
      </c>
      <c r="BJ307" s="275" t="str">
        <f ca="1">IF(ISERROR(HLOOKUP(BJ$10,INDIRECT(LOWER($AN307)&amp;"Price"),$BW307,FALSE)),"Да",HLOOKUP(BJ$10,INDIRECT(LOWER($AN307)&amp;"Price"),$BW307,FALSE))</f>
        <v>Да</v>
      </c>
      <c r="BK307" s="116">
        <f t="shared" ca="1" si="1749"/>
        <v>0.8</v>
      </c>
      <c r="BL307" s="117">
        <f t="shared" ca="1" si="1749"/>
        <v>0.9</v>
      </c>
      <c r="BM307" s="117">
        <f t="shared" ca="1" si="1749"/>
        <v>1</v>
      </c>
      <c r="BN307" s="117">
        <f t="shared" ca="1" si="1749"/>
        <v>1</v>
      </c>
      <c r="BO307" s="117">
        <f t="shared" ca="1" si="1749"/>
        <v>1</v>
      </c>
      <c r="BP307" s="117">
        <f t="shared" ca="1" si="1749"/>
        <v>1</v>
      </c>
      <c r="BQ307" s="117">
        <f t="shared" ca="1" si="1749"/>
        <v>0.9</v>
      </c>
      <c r="BR307" s="117">
        <f t="shared" ca="1" si="1749"/>
        <v>0.9</v>
      </c>
      <c r="BS307" s="117">
        <f t="shared" ca="1" si="1749"/>
        <v>1.3</v>
      </c>
      <c r="BT307" s="117">
        <f t="shared" ca="1" si="1749"/>
        <v>1.3</v>
      </c>
      <c r="BU307" s="117">
        <f t="shared" ca="1" si="1749"/>
        <v>1.3</v>
      </c>
      <c r="BV307" s="278">
        <f t="shared" ca="1" si="1749"/>
        <v>1.3</v>
      </c>
      <c r="BW307" s="280">
        <f t="shared" si="1764"/>
        <v>4</v>
      </c>
      <c r="BX307" s="118">
        <f>IF($AN307="Ya",100%,100%+extraDelayZ)</f>
        <v>1</v>
      </c>
      <c r="BY307" s="263">
        <f t="shared" si="1750"/>
        <v>1</v>
      </c>
      <c r="BZ307" s="264">
        <f t="shared" si="1751"/>
        <v>1</v>
      </c>
      <c r="CA307" s="264">
        <f t="shared" si="1752"/>
        <v>1</v>
      </c>
      <c r="CB307" s="264">
        <f t="shared" si="1753"/>
        <v>1</v>
      </c>
      <c r="CC307" s="264">
        <f t="shared" si="1754"/>
        <v>1</v>
      </c>
      <c r="CD307" s="264">
        <f t="shared" si="1755"/>
        <v>1</v>
      </c>
      <c r="CE307" s="264">
        <f t="shared" si="1756"/>
        <v>1</v>
      </c>
      <c r="CF307" s="264">
        <f t="shared" si="1757"/>
        <v>1</v>
      </c>
      <c r="CG307" s="264">
        <f t="shared" si="1758"/>
        <v>1</v>
      </c>
      <c r="CH307" s="264">
        <f t="shared" si="1759"/>
        <v>1</v>
      </c>
      <c r="CI307" s="264">
        <f t="shared" si="1760"/>
        <v>1</v>
      </c>
      <c r="CJ307" s="265">
        <f t="shared" si="1761"/>
        <v>1</v>
      </c>
      <c r="CK307" s="269">
        <f t="array" ref="CK307">IF(ISERROR(SUM($K307:$V307*$BY307:$CJ307)/SUM($K307:$V307)),1,SUM($K307:$V307*$BY307:$CJ307)/SUM($K307:$V307))-1</f>
        <v>0</v>
      </c>
      <c r="CL307" s="234"/>
    </row>
    <row r="308" spans="1:90" ht="12.75" hidden="1" outlineLevel="1" x14ac:dyDescent="0.2">
      <c r="B308" s="414" t="str">
        <f t="shared" ca="1" si="1730"/>
        <v>Пакет "Питер", 240x400</v>
      </c>
      <c r="C308" s="649" t="str">
        <f t="shared" ca="1" si="1731"/>
        <v>Пакет</v>
      </c>
      <c r="D308" s="415">
        <f t="shared" ca="1" si="1732"/>
        <v>300</v>
      </c>
      <c r="E308" s="415">
        <f t="shared" ca="1" si="1733"/>
        <v>300</v>
      </c>
      <c r="F308" s="415">
        <f t="shared" ca="1" si="1734"/>
        <v>300</v>
      </c>
      <c r="G308" s="416">
        <f t="shared" ca="1" si="1735"/>
        <v>30000</v>
      </c>
      <c r="H308" s="416">
        <f t="shared" ca="1" si="1736"/>
        <v>30000</v>
      </c>
      <c r="I308" s="406">
        <f t="shared" ca="1" si="1737"/>
        <v>0</v>
      </c>
      <c r="J308" s="407">
        <f t="shared" ca="1" si="1738"/>
        <v>0</v>
      </c>
      <c r="K308" s="622"/>
      <c r="L308" s="623"/>
      <c r="M308" s="623"/>
      <c r="N308" s="623"/>
      <c r="O308" s="623"/>
      <c r="P308" s="623"/>
      <c r="Q308" s="623"/>
      <c r="R308" s="623"/>
      <c r="S308" s="623"/>
      <c r="T308" s="623"/>
      <c r="U308" s="623"/>
      <c r="V308" s="624"/>
      <c r="W308" s="416">
        <f t="shared" ca="1" si="1714"/>
        <v>0</v>
      </c>
      <c r="X308" s="416"/>
      <c r="Y308" s="420"/>
      <c r="Z308" s="412">
        <f t="shared" si="1739"/>
        <v>0</v>
      </c>
      <c r="AA308" s="625"/>
      <c r="AB308" s="625"/>
      <c r="AC308" s="625"/>
      <c r="AD308" s="625"/>
      <c r="AE308" s="625"/>
      <c r="AF308" s="625"/>
      <c r="AG308" s="625"/>
      <c r="AH308" s="625"/>
      <c r="AI308" s="625"/>
      <c r="AJ308" s="625"/>
      <c r="AK308" s="625"/>
      <c r="AL308" s="625"/>
      <c r="AM308" s="626"/>
      <c r="AN308" s="351" t="s">
        <v>130</v>
      </c>
      <c r="AO308" s="351" t="str">
        <f t="shared" si="1762"/>
        <v>Echo.Msk.ru</v>
      </c>
      <c r="AP308" s="115">
        <f t="shared" si="1544"/>
        <v>5</v>
      </c>
      <c r="AQ308" s="31" t="str">
        <f t="shared" ca="1" si="1740"/>
        <v>Вкл</v>
      </c>
      <c r="AR308" s="31" t="str">
        <f t="shared" ca="1" si="1740"/>
        <v>-</v>
      </c>
      <c r="AS308" s="35">
        <v>0</v>
      </c>
      <c r="AT308" s="229">
        <v>0</v>
      </c>
      <c r="AU308" s="344">
        <f t="shared" ca="1" si="1741"/>
        <v>300</v>
      </c>
      <c r="AV308" s="345">
        <f t="shared" ca="1" si="1742"/>
        <v>300</v>
      </c>
      <c r="AW308" s="346">
        <f t="shared" ca="1" si="1743"/>
        <v>300</v>
      </c>
      <c r="AX308" s="280"/>
      <c r="AY308" s="280"/>
      <c r="AZ308" s="347">
        <f t="shared" ca="1" si="1744"/>
        <v>30000</v>
      </c>
      <c r="BA308" s="348">
        <f t="shared" ca="1" si="1745"/>
        <v>30000</v>
      </c>
      <c r="BB308" s="347">
        <f t="shared" ca="1" si="1746"/>
        <v>100</v>
      </c>
      <c r="BC308" s="37" t="str">
        <f t="shared" ca="1" si="1746"/>
        <v>Пакет</v>
      </c>
      <c r="BD308" s="229" t="str">
        <f t="shared" ca="1" si="1747"/>
        <v>Пакет</v>
      </c>
      <c r="BE308" s="283">
        <f t="shared" ca="1" si="1763"/>
        <v>0</v>
      </c>
      <c r="BF308" s="347">
        <f t="array" aca="1" ref="BF308" ca="1">SUM($K308:$V308*$BK308:$BV308)*$AZ308</f>
        <v>0</v>
      </c>
      <c r="BG308" s="347">
        <f t="array" aca="1" ref="BG308" ca="1">SUM($K308:$V308*$BY308:$CJ308*$BK308:$BV308)*$AZ308*$BX308</f>
        <v>0</v>
      </c>
      <c r="BH308" s="347">
        <f t="array" aca="1" ref="BH308" ca="1">SUM($K308:$V308*$BY308:$CJ308*$BK308:$BV308)*(1-$BE308)*$AZ308*$BX308</f>
        <v>0</v>
      </c>
      <c r="BI308" s="350">
        <f t="shared" ca="1" si="1748"/>
        <v>0</v>
      </c>
      <c r="BJ308" s="275" t="str">
        <f ca="1">IF(ISERROR(HLOOKUP(BJ$10,INDIRECT(LOWER($AN308)&amp;"Price"),$BW308,FALSE)),"Да",HLOOKUP(BJ$10,INDIRECT(LOWER($AN308)&amp;"Price"),$BW308,FALSE))</f>
        <v>Да</v>
      </c>
      <c r="BK308" s="116">
        <f t="shared" ca="1" si="1749"/>
        <v>0.8</v>
      </c>
      <c r="BL308" s="117">
        <f t="shared" ca="1" si="1749"/>
        <v>0.9</v>
      </c>
      <c r="BM308" s="117">
        <f t="shared" ca="1" si="1749"/>
        <v>1</v>
      </c>
      <c r="BN308" s="117">
        <f t="shared" ca="1" si="1749"/>
        <v>1</v>
      </c>
      <c r="BO308" s="117">
        <f t="shared" ca="1" si="1749"/>
        <v>1</v>
      </c>
      <c r="BP308" s="117">
        <f t="shared" ca="1" si="1749"/>
        <v>1</v>
      </c>
      <c r="BQ308" s="117">
        <f t="shared" ca="1" si="1749"/>
        <v>0.9</v>
      </c>
      <c r="BR308" s="117">
        <f t="shared" ca="1" si="1749"/>
        <v>0.9</v>
      </c>
      <c r="BS308" s="117">
        <f t="shared" ca="1" si="1749"/>
        <v>1.3</v>
      </c>
      <c r="BT308" s="117">
        <f t="shared" ca="1" si="1749"/>
        <v>1.3</v>
      </c>
      <c r="BU308" s="117">
        <f t="shared" ca="1" si="1749"/>
        <v>1.3</v>
      </c>
      <c r="BV308" s="278">
        <f t="shared" ca="1" si="1749"/>
        <v>1.3</v>
      </c>
      <c r="BW308" s="280">
        <f t="shared" si="1764"/>
        <v>5</v>
      </c>
      <c r="BX308" s="118">
        <f>IF($AN308="Ya",100%,100%+extraDelayZ)</f>
        <v>1</v>
      </c>
      <c r="BY308" s="263">
        <f t="shared" si="1750"/>
        <v>1</v>
      </c>
      <c r="BZ308" s="264">
        <f t="shared" si="1751"/>
        <v>1</v>
      </c>
      <c r="CA308" s="264">
        <f t="shared" si="1752"/>
        <v>1</v>
      </c>
      <c r="CB308" s="264">
        <f t="shared" si="1753"/>
        <v>1</v>
      </c>
      <c r="CC308" s="264">
        <f t="shared" si="1754"/>
        <v>1</v>
      </c>
      <c r="CD308" s="264">
        <f t="shared" si="1755"/>
        <v>1</v>
      </c>
      <c r="CE308" s="264">
        <f t="shared" si="1756"/>
        <v>1</v>
      </c>
      <c r="CF308" s="264">
        <f t="shared" si="1757"/>
        <v>1</v>
      </c>
      <c r="CG308" s="264">
        <f t="shared" si="1758"/>
        <v>1</v>
      </c>
      <c r="CH308" s="264">
        <f t="shared" si="1759"/>
        <v>1</v>
      </c>
      <c r="CI308" s="264">
        <f t="shared" si="1760"/>
        <v>1</v>
      </c>
      <c r="CJ308" s="265">
        <f t="shared" si="1761"/>
        <v>1</v>
      </c>
      <c r="CK308" s="269">
        <f t="array" ref="CK308">IF(ISERROR(SUM($K308:$V308*$BY308:$CJ308)/SUM($K308:$V308)),1,SUM($K308:$V308*$BY308:$CJ308)/SUM($K308:$V308))-1</f>
        <v>0</v>
      </c>
      <c r="CL308" s="234"/>
    </row>
    <row r="309" spans="1:90" ht="15" collapsed="1" x14ac:dyDescent="0.2">
      <c r="A309" s="391"/>
      <c r="B309" s="392" t="str">
        <f>CONCATENATE($AO309,IF($AX309&gt;0,CONCATENATE("  (план ",TEXT(INDEX(indBudX,MATCH($AN309,indPrefixX,0)),"# ##0")," руб.)"),""))</f>
        <v>F1News.ru</v>
      </c>
      <c r="C309" s="650" t="s">
        <v>363</v>
      </c>
      <c r="D309" s="393"/>
      <c r="E309" s="394"/>
      <c r="F309" s="394"/>
      <c r="G309" s="395"/>
      <c r="H309" s="395"/>
      <c r="I309" s="395">
        <f t="shared" ref="I309" ca="1" si="1765">$BG309</f>
        <v>0</v>
      </c>
      <c r="J309" s="396">
        <f ca="1">$BH309</f>
        <v>0</v>
      </c>
      <c r="K309" s="397"/>
      <c r="L309" s="398"/>
      <c r="M309" s="398"/>
      <c r="N309" s="398"/>
      <c r="O309" s="398"/>
      <c r="P309" s="398"/>
      <c r="Q309" s="398"/>
      <c r="R309" s="398"/>
      <c r="S309" s="398"/>
      <c r="T309" s="398"/>
      <c r="U309" s="398"/>
      <c r="V309" s="399"/>
      <c r="W309" s="395">
        <f t="shared" ca="1" si="1714"/>
        <v>0</v>
      </c>
      <c r="X309" s="576"/>
      <c r="Y309" s="400">
        <f ca="1">$BE309</f>
        <v>0</v>
      </c>
      <c r="Z309" s="401"/>
      <c r="AA309" s="402"/>
      <c r="AB309" s="402"/>
      <c r="AC309" s="402"/>
      <c r="AD309" s="402"/>
      <c r="AE309" s="402"/>
      <c r="AF309" s="402"/>
      <c r="AG309" s="402"/>
      <c r="AH309" s="402"/>
      <c r="AI309" s="402"/>
      <c r="AJ309" s="402"/>
      <c r="AK309" s="402"/>
      <c r="AL309" s="402"/>
      <c r="AM309" s="403"/>
      <c r="AN309" s="130" t="s">
        <v>73</v>
      </c>
      <c r="AO309" s="130" t="str">
        <f t="shared" si="1762"/>
        <v>F1News.ru</v>
      </c>
      <c r="AP309" s="119">
        <f t="shared" si="1544"/>
        <v>18</v>
      </c>
      <c r="AQ309" s="120"/>
      <c r="AR309" s="120"/>
      <c r="AS309" s="121"/>
      <c r="AT309" s="228"/>
      <c r="AU309" s="232"/>
      <c r="AV309" s="179"/>
      <c r="AW309" s="233"/>
      <c r="AX309" s="279">
        <f>IF(ISERROR(INDEX(indBudX,MATCH($AN309,indPrefixX,0))),0,INDEX(indBudX,MATCH($AN309,indPrefixX,0)))</f>
        <v>0</v>
      </c>
      <c r="AY309" s="279">
        <f>IF(ISNUMBER($X309),$X309,0)</f>
        <v>0</v>
      </c>
      <c r="AZ309" s="123"/>
      <c r="BA309" s="125"/>
      <c r="BB309" s="123"/>
      <c r="BC309" s="124"/>
      <c r="BD309" s="464"/>
      <c r="BE309" s="282">
        <f t="shared" ca="1" si="1763"/>
        <v>0</v>
      </c>
      <c r="BF309" s="123">
        <f t="shared" ref="BF309:BI309" ca="1" si="1766">SUM(OFFSET(BF309,1,0,$AP309-1,1))</f>
        <v>0</v>
      </c>
      <c r="BG309" s="123">
        <f t="shared" ca="1" si="1766"/>
        <v>0</v>
      </c>
      <c r="BH309" s="123">
        <f t="shared" ca="1" si="1766"/>
        <v>0</v>
      </c>
      <c r="BI309" s="273">
        <f t="shared" ca="1" si="1766"/>
        <v>0</v>
      </c>
      <c r="BJ309" s="274"/>
      <c r="BK309" s="126"/>
      <c r="BL309" s="127"/>
      <c r="BM309" s="127"/>
      <c r="BN309" s="127"/>
      <c r="BO309" s="127"/>
      <c r="BP309" s="127"/>
      <c r="BQ309" s="127"/>
      <c r="BR309" s="127"/>
      <c r="BS309" s="127"/>
      <c r="BT309" s="127"/>
      <c r="BU309" s="127"/>
      <c r="BV309" s="277"/>
      <c r="BW309" s="279">
        <f t="shared" si="1764"/>
        <v>1</v>
      </c>
      <c r="BX309" s="128"/>
      <c r="BY309" s="260"/>
      <c r="BZ309" s="261"/>
      <c r="CA309" s="261"/>
      <c r="CB309" s="261"/>
      <c r="CC309" s="261"/>
      <c r="CD309" s="261"/>
      <c r="CE309" s="261"/>
      <c r="CF309" s="261"/>
      <c r="CG309" s="261"/>
      <c r="CH309" s="261"/>
      <c r="CI309" s="261"/>
      <c r="CJ309" s="262"/>
      <c r="CK309" s="270"/>
      <c r="CL309" s="234"/>
    </row>
    <row r="310" spans="1:90" ht="12.75" hidden="1" outlineLevel="1" x14ac:dyDescent="0.2">
      <c r="B310" s="404" t="str">
        <f t="shared" ref="B310:B326" ca="1" si="1767">INDEX(INDIRECT(LOWER($AN310)&amp;"Price"),$BW310,2)</f>
        <v>Все страницы, 240х400</v>
      </c>
      <c r="C310" s="649" t="str">
        <f t="shared" ref="C310:C326" ca="1" si="1768">$BD310</f>
        <v>х1000</v>
      </c>
      <c r="D310" s="405">
        <f t="shared" ref="D310:D326" ca="1" si="1769">$AU310</f>
        <v>400</v>
      </c>
      <c r="E310" s="405">
        <f t="shared" ref="E310:E326" ca="1" si="1770">$AV310</f>
        <v>400</v>
      </c>
      <c r="F310" s="405">
        <f t="shared" ref="F310:F326" ca="1" si="1771">$AW310</f>
        <v>400</v>
      </c>
      <c r="G310" s="406">
        <f t="shared" ref="G310:G326" ca="1" si="1772">$AZ310</f>
        <v>400</v>
      </c>
      <c r="H310" s="406">
        <f t="shared" ref="H310:H326" ca="1" si="1773">$BA310</f>
        <v>400</v>
      </c>
      <c r="I310" s="406">
        <f t="shared" ref="I310:I326" ca="1" si="1774">$BG310</f>
        <v>0</v>
      </c>
      <c r="J310" s="407">
        <f t="shared" ref="J310:J326" ca="1" si="1775">$BH310</f>
        <v>0</v>
      </c>
      <c r="K310" s="408"/>
      <c r="L310" s="409"/>
      <c r="M310" s="409"/>
      <c r="N310" s="409"/>
      <c r="O310" s="409"/>
      <c r="P310" s="409"/>
      <c r="Q310" s="409"/>
      <c r="R310" s="409"/>
      <c r="S310" s="409"/>
      <c r="T310" s="409"/>
      <c r="U310" s="409"/>
      <c r="V310" s="410"/>
      <c r="W310" s="406">
        <f t="shared" ca="1" si="1714"/>
        <v>0</v>
      </c>
      <c r="X310" s="406"/>
      <c r="Y310" s="411"/>
      <c r="Z310" s="412">
        <f t="shared" ref="Z310:Z326" si="1776">CK310</f>
        <v>0</v>
      </c>
      <c r="AA310" s="413"/>
      <c r="AB310" s="413"/>
      <c r="AC310" s="413"/>
      <c r="AD310" s="413"/>
      <c r="AE310" s="413"/>
      <c r="AF310" s="413"/>
      <c r="AG310" s="413"/>
      <c r="AH310" s="413"/>
      <c r="AI310" s="413"/>
      <c r="AJ310" s="413"/>
      <c r="AK310" s="413"/>
      <c r="AL310" s="413"/>
      <c r="AM310" s="572"/>
      <c r="AN310" s="351" t="s">
        <v>73</v>
      </c>
      <c r="AO310" s="351" t="str">
        <f t="shared" si="1762"/>
        <v>F1News.ru</v>
      </c>
      <c r="AP310" s="115">
        <f t="shared" si="1544"/>
        <v>18</v>
      </c>
      <c r="AQ310" s="31">
        <f t="shared" ref="AQ310:AR326" ca="1" si="1777">HLOOKUP(AQ$10,INDIRECT(LOWER($AN310)&amp;"Price"),$BW310,FALSE)</f>
        <v>0.25</v>
      </c>
      <c r="AR310" s="31">
        <f t="shared" ca="1" si="1777"/>
        <v>0.15</v>
      </c>
      <c r="AS310" s="35">
        <v>0</v>
      </c>
      <c r="AT310" s="229">
        <v>0</v>
      </c>
      <c r="AU310" s="344">
        <f t="shared" ref="AU310:AU326" ca="1" si="1778">HLOOKUP(AU$10,INDIRECT(LOWER($AN310)&amp;"Price"),$BW310,FALSE)</f>
        <v>400</v>
      </c>
      <c r="AV310" s="345">
        <f t="shared" ref="AV310:AV326" ca="1" si="1779">IF(ISERROR($BG310/$BI310),$AU310,$BG310/$BI310)</f>
        <v>400</v>
      </c>
      <c r="AW310" s="346">
        <f t="shared" ref="AW310:AW326" ca="1" si="1780">$AV310*(1-$BE310)</f>
        <v>400</v>
      </c>
      <c r="AX310" s="280"/>
      <c r="AY310" s="280"/>
      <c r="AZ310" s="347">
        <f t="shared" ref="AZ310:AZ326" ca="1" si="1781">HLOOKUP(AZ$10,INDIRECT(LOWER($AN310)&amp;"Price"),$BW310,FALSE)</f>
        <v>400</v>
      </c>
      <c r="BA310" s="348">
        <f t="shared" ref="BA310:BA326" ca="1" si="1782">$AZ310*(1-$BE310)</f>
        <v>400</v>
      </c>
      <c r="BB310" s="347">
        <f t="shared" ref="BB310:BC326" ca="1" si="1783">HLOOKUP(BB$10,INDIRECT(LOWER($AN310)&amp;"Price"),$BW310,FALSE)</f>
        <v>1</v>
      </c>
      <c r="BC310" s="37" t="str">
        <f t="shared" ca="1" si="1783"/>
        <v>1000 контактов</v>
      </c>
      <c r="BD310" s="229" t="str">
        <f t="shared" ref="BD310:BD326" ca="1" si="1784">IF(ISERROR(VLOOKUP($BC310,typeIndexPair,2,FALSE)),"",VLOOKUP($BC310,typeIndexPair,2,FALSE))</f>
        <v>х1000</v>
      </c>
      <c r="BE310" s="283">
        <f t="shared" ca="1" si="1763"/>
        <v>0</v>
      </c>
      <c r="BF310" s="347">
        <f t="array" aca="1" ref="BF310" ca="1">SUM($K310:$V310*$BK310:$BV310)*$AZ310</f>
        <v>0</v>
      </c>
      <c r="BG310" s="347">
        <f t="array" aca="1" ref="BG310" ca="1">SUM($K310:$V310*$BY310:$CJ310*$BK310:$BV310)*$AZ310*$BX310</f>
        <v>0</v>
      </c>
      <c r="BH310" s="347">
        <f t="array" aca="1" ref="BH310" ca="1">SUM($K310:$V310*$BY310:$CJ310*$BK310:$BV310)*(1-$BE310)*$AZ310*$BX310</f>
        <v>0</v>
      </c>
      <c r="BI310" s="350">
        <f t="shared" ref="BI310:BI326" ca="1" si="1785">SUM($K310:$V310)*$BB310</f>
        <v>0</v>
      </c>
      <c r="BJ310" s="275" t="str">
        <f t="shared" ref="BJ310:BJ326" ca="1" si="1786">IF(ISERROR(HLOOKUP(BJ$10,INDIRECT(LOWER($AN310)&amp;"Price"),$BW310,FALSE)),"Да",HLOOKUP(BJ$10,INDIRECT(LOWER($AN310)&amp;"Price"),$BW310,FALSE))</f>
        <v>Да</v>
      </c>
      <c r="BK310" s="116">
        <f t="shared" ref="BK310:BV326" ca="1" si="1787">IF($BJ310="Особ.",INDEX(INDIRECT(LOWER($AN310)&amp;"Season2"),BK$9),IF($BJ310="Да",INDEX(INDIRECT(LOWER($AN310)&amp;"Season"),BK$9),100%))</f>
        <v>0.8</v>
      </c>
      <c r="BL310" s="117">
        <f t="shared" ca="1" si="1787"/>
        <v>0.9</v>
      </c>
      <c r="BM310" s="117">
        <f t="shared" ca="1" si="1787"/>
        <v>1</v>
      </c>
      <c r="BN310" s="117">
        <f t="shared" ca="1" si="1787"/>
        <v>1</v>
      </c>
      <c r="BO310" s="117">
        <f t="shared" ca="1" si="1787"/>
        <v>1</v>
      </c>
      <c r="BP310" s="117">
        <f t="shared" ca="1" si="1787"/>
        <v>1</v>
      </c>
      <c r="BQ310" s="117">
        <f t="shared" ca="1" si="1787"/>
        <v>0.9</v>
      </c>
      <c r="BR310" s="117">
        <f t="shared" ca="1" si="1787"/>
        <v>0.9</v>
      </c>
      <c r="BS310" s="117">
        <f t="shared" ca="1" si="1787"/>
        <v>1.3</v>
      </c>
      <c r="BT310" s="117">
        <f t="shared" ca="1" si="1787"/>
        <v>1.3</v>
      </c>
      <c r="BU310" s="117">
        <f t="shared" ca="1" si="1787"/>
        <v>1.3</v>
      </c>
      <c r="BV310" s="278">
        <f t="shared" ca="1" si="1787"/>
        <v>1.3</v>
      </c>
      <c r="BW310" s="280">
        <f t="shared" si="1764"/>
        <v>2</v>
      </c>
      <c r="BX310" s="118">
        <f>IF($AN310="Ya",100%,100%+extraDelayZ)</f>
        <v>1</v>
      </c>
      <c r="BY310" s="263">
        <f t="shared" ref="BY310:BY326" si="1788">(1+AA310)</f>
        <v>1</v>
      </c>
      <c r="BZ310" s="264">
        <f t="shared" ref="BZ310:BZ326" si="1789">(1+AB310)</f>
        <v>1</v>
      </c>
      <c r="CA310" s="264">
        <f t="shared" ref="CA310:CA326" si="1790">(1+AC310)</f>
        <v>1</v>
      </c>
      <c r="CB310" s="264">
        <f t="shared" ref="CB310:CB326" si="1791">(1+AD310)</f>
        <v>1</v>
      </c>
      <c r="CC310" s="264">
        <f t="shared" ref="CC310:CC326" si="1792">(1+AE310)</f>
        <v>1</v>
      </c>
      <c r="CD310" s="264">
        <f t="shared" ref="CD310:CD326" si="1793">(1+AF310)</f>
        <v>1</v>
      </c>
      <c r="CE310" s="264">
        <f t="shared" ref="CE310:CE326" si="1794">(1+AG310)</f>
        <v>1</v>
      </c>
      <c r="CF310" s="264">
        <f t="shared" ref="CF310:CF326" si="1795">(1+AH310)</f>
        <v>1</v>
      </c>
      <c r="CG310" s="264">
        <f t="shared" ref="CG310:CG326" si="1796">(1+AI310)</f>
        <v>1</v>
      </c>
      <c r="CH310" s="264">
        <f t="shared" ref="CH310:CH326" si="1797">(1+AJ310)</f>
        <v>1</v>
      </c>
      <c r="CI310" s="264">
        <f t="shared" ref="CI310:CI326" si="1798">(1+AK310)</f>
        <v>1</v>
      </c>
      <c r="CJ310" s="265">
        <f t="shared" ref="CJ310:CJ326" si="1799">(1+AL310)</f>
        <v>1</v>
      </c>
      <c r="CK310" s="269">
        <f t="array" ref="CK310">IF(ISERROR(SUM($K310:$V310*$BY310:$CJ310)/SUM($K310:$V310)),1,SUM($K310:$V310*$BY310:$CJ310)/SUM($K310:$V310))-1</f>
        <v>0</v>
      </c>
      <c r="CL310" s="234"/>
    </row>
    <row r="311" spans="1:90" ht="12.75" hidden="1" outlineLevel="1" x14ac:dyDescent="0.2">
      <c r="B311" s="404" t="str">
        <f t="shared" ca="1" si="1767"/>
        <v>Все страницы, 300х500</v>
      </c>
      <c r="C311" s="649" t="str">
        <f t="shared" ca="1" si="1768"/>
        <v>х1000</v>
      </c>
      <c r="D311" s="405">
        <f t="shared" ca="1" si="1769"/>
        <v>600</v>
      </c>
      <c r="E311" s="405">
        <f t="shared" ca="1" si="1770"/>
        <v>600</v>
      </c>
      <c r="F311" s="405">
        <f t="shared" ca="1" si="1771"/>
        <v>600</v>
      </c>
      <c r="G311" s="406">
        <f t="shared" ca="1" si="1772"/>
        <v>600</v>
      </c>
      <c r="H311" s="406">
        <f t="shared" ca="1" si="1773"/>
        <v>600</v>
      </c>
      <c r="I311" s="406">
        <f t="shared" ca="1" si="1774"/>
        <v>0</v>
      </c>
      <c r="J311" s="407">
        <f t="shared" ca="1" si="1775"/>
        <v>0</v>
      </c>
      <c r="K311" s="408"/>
      <c r="L311" s="409"/>
      <c r="M311" s="409"/>
      <c r="N311" s="409"/>
      <c r="O311" s="409"/>
      <c r="P311" s="409"/>
      <c r="Q311" s="409"/>
      <c r="R311" s="409"/>
      <c r="S311" s="409"/>
      <c r="T311" s="409"/>
      <c r="U311" s="409"/>
      <c r="V311" s="410"/>
      <c r="W311" s="406">
        <f t="shared" ca="1" si="1714"/>
        <v>0</v>
      </c>
      <c r="X311" s="406"/>
      <c r="Y311" s="411"/>
      <c r="Z311" s="412">
        <f t="shared" si="1776"/>
        <v>0</v>
      </c>
      <c r="AA311" s="413"/>
      <c r="AB311" s="413"/>
      <c r="AC311" s="413"/>
      <c r="AD311" s="413"/>
      <c r="AE311" s="413"/>
      <c r="AF311" s="413"/>
      <c r="AG311" s="413"/>
      <c r="AH311" s="413"/>
      <c r="AI311" s="413"/>
      <c r="AJ311" s="413"/>
      <c r="AK311" s="413"/>
      <c r="AL311" s="413"/>
      <c r="AM311" s="572"/>
      <c r="AN311" s="351" t="s">
        <v>73</v>
      </c>
      <c r="AO311" s="351" t="str">
        <f t="shared" si="1762"/>
        <v>F1News.ru</v>
      </c>
      <c r="AP311" s="115">
        <f t="shared" si="1544"/>
        <v>18</v>
      </c>
      <c r="AQ311" s="31">
        <f t="shared" ca="1" si="1777"/>
        <v>0.25</v>
      </c>
      <c r="AR311" s="31">
        <f t="shared" ca="1" si="1777"/>
        <v>0.15</v>
      </c>
      <c r="AS311" s="34">
        <v>0</v>
      </c>
      <c r="AT311" s="229">
        <v>0</v>
      </c>
      <c r="AU311" s="344">
        <f t="shared" ca="1" si="1778"/>
        <v>600</v>
      </c>
      <c r="AV311" s="345">
        <f t="shared" ca="1" si="1779"/>
        <v>600</v>
      </c>
      <c r="AW311" s="346">
        <f t="shared" ca="1" si="1780"/>
        <v>600</v>
      </c>
      <c r="AX311" s="280"/>
      <c r="AY311" s="280"/>
      <c r="AZ311" s="347">
        <f t="shared" ca="1" si="1781"/>
        <v>600</v>
      </c>
      <c r="BA311" s="348">
        <f t="shared" ca="1" si="1782"/>
        <v>600</v>
      </c>
      <c r="BB311" s="347">
        <f t="shared" ca="1" si="1783"/>
        <v>1</v>
      </c>
      <c r="BC311" s="37" t="str">
        <f t="shared" ca="1" si="1783"/>
        <v>1000 контактов</v>
      </c>
      <c r="BD311" s="229" t="str">
        <f t="shared" ca="1" si="1784"/>
        <v>х1000</v>
      </c>
      <c r="BE311" s="283">
        <f t="shared" ca="1" si="1763"/>
        <v>0</v>
      </c>
      <c r="BF311" s="347">
        <f t="array" aca="1" ref="BF311" ca="1">SUM($K311:$V311*$BK311:$BV311)*$AZ311</f>
        <v>0</v>
      </c>
      <c r="BG311" s="347">
        <f t="array" aca="1" ref="BG311" ca="1">SUM($K311:$V311*$BY311:$CJ311*$BK311:$BV311)*$AZ311*$BX311</f>
        <v>0</v>
      </c>
      <c r="BH311" s="347">
        <f t="array" aca="1" ref="BH311" ca="1">SUM($K311:$V311*$BY311:$CJ311*$BK311:$BV311)*(1-$BE311)*$AZ311*$BX311</f>
        <v>0</v>
      </c>
      <c r="BI311" s="350">
        <f t="shared" ca="1" si="1785"/>
        <v>0</v>
      </c>
      <c r="BJ311" s="275" t="str">
        <f t="shared" ca="1" si="1786"/>
        <v>Да</v>
      </c>
      <c r="BK311" s="116">
        <f t="shared" ca="1" si="1787"/>
        <v>0.8</v>
      </c>
      <c r="BL311" s="117">
        <f t="shared" ca="1" si="1787"/>
        <v>0.9</v>
      </c>
      <c r="BM311" s="117">
        <f t="shared" ca="1" si="1787"/>
        <v>1</v>
      </c>
      <c r="BN311" s="117">
        <f t="shared" ca="1" si="1787"/>
        <v>1</v>
      </c>
      <c r="BO311" s="117">
        <f t="shared" ca="1" si="1787"/>
        <v>1</v>
      </c>
      <c r="BP311" s="117">
        <f t="shared" ca="1" si="1787"/>
        <v>1</v>
      </c>
      <c r="BQ311" s="117">
        <f t="shared" ca="1" si="1787"/>
        <v>0.9</v>
      </c>
      <c r="BR311" s="117">
        <f t="shared" ca="1" si="1787"/>
        <v>0.9</v>
      </c>
      <c r="BS311" s="117">
        <f t="shared" ca="1" si="1787"/>
        <v>1.3</v>
      </c>
      <c r="BT311" s="117">
        <f t="shared" ca="1" si="1787"/>
        <v>1.3</v>
      </c>
      <c r="BU311" s="117">
        <f t="shared" ca="1" si="1787"/>
        <v>1.3</v>
      </c>
      <c r="BV311" s="278">
        <f t="shared" ca="1" si="1787"/>
        <v>1.3</v>
      </c>
      <c r="BW311" s="280">
        <f t="shared" si="1764"/>
        <v>3</v>
      </c>
      <c r="BX311" s="118">
        <f>IF($AN311="Ya",100%,100%+extraDelayZ)</f>
        <v>1</v>
      </c>
      <c r="BY311" s="263">
        <f t="shared" si="1788"/>
        <v>1</v>
      </c>
      <c r="BZ311" s="264">
        <f t="shared" si="1789"/>
        <v>1</v>
      </c>
      <c r="CA311" s="264">
        <f t="shared" si="1790"/>
        <v>1</v>
      </c>
      <c r="CB311" s="264">
        <f t="shared" si="1791"/>
        <v>1</v>
      </c>
      <c r="CC311" s="264">
        <f t="shared" si="1792"/>
        <v>1</v>
      </c>
      <c r="CD311" s="264">
        <f t="shared" si="1793"/>
        <v>1</v>
      </c>
      <c r="CE311" s="264">
        <f t="shared" si="1794"/>
        <v>1</v>
      </c>
      <c r="CF311" s="264">
        <f t="shared" si="1795"/>
        <v>1</v>
      </c>
      <c r="CG311" s="264">
        <f t="shared" si="1796"/>
        <v>1</v>
      </c>
      <c r="CH311" s="264">
        <f t="shared" si="1797"/>
        <v>1</v>
      </c>
      <c r="CI311" s="264">
        <f t="shared" si="1798"/>
        <v>1</v>
      </c>
      <c r="CJ311" s="265">
        <f t="shared" si="1799"/>
        <v>1</v>
      </c>
      <c r="CK311" s="269">
        <f t="array" ref="CK311">IF(ISERROR(SUM($K311:$V311*$BY311:$CJ311)/SUM($K311:$V311)),1,SUM($K311:$V311*$BY311:$CJ311)/SUM($K311:$V311))-1</f>
        <v>0</v>
      </c>
      <c r="CL311" s="234"/>
    </row>
    <row r="312" spans="1:90" ht="12.75" hidden="1" outlineLevel="1" x14ac:dyDescent="0.2">
      <c r="B312" s="404" t="str">
        <f t="shared" ca="1" si="1767"/>
        <v>Все страницы, 100%х90</v>
      </c>
      <c r="C312" s="649" t="str">
        <f t="shared" ca="1" si="1768"/>
        <v>х1000</v>
      </c>
      <c r="D312" s="405">
        <f t="shared" ca="1" si="1769"/>
        <v>220</v>
      </c>
      <c r="E312" s="405">
        <f t="shared" ca="1" si="1770"/>
        <v>220</v>
      </c>
      <c r="F312" s="405">
        <f t="shared" ca="1" si="1771"/>
        <v>220</v>
      </c>
      <c r="G312" s="406">
        <f t="shared" ca="1" si="1772"/>
        <v>220</v>
      </c>
      <c r="H312" s="406">
        <f t="shared" ca="1" si="1773"/>
        <v>220</v>
      </c>
      <c r="I312" s="406">
        <f t="shared" ca="1" si="1774"/>
        <v>0</v>
      </c>
      <c r="J312" s="407">
        <f t="shared" ca="1" si="1775"/>
        <v>0</v>
      </c>
      <c r="K312" s="408"/>
      <c r="L312" s="409"/>
      <c r="M312" s="409"/>
      <c r="N312" s="409"/>
      <c r="O312" s="409"/>
      <c r="P312" s="409"/>
      <c r="Q312" s="409"/>
      <c r="R312" s="409"/>
      <c r="S312" s="409"/>
      <c r="T312" s="409"/>
      <c r="U312" s="409"/>
      <c r="V312" s="410"/>
      <c r="W312" s="406">
        <f t="shared" ca="1" si="1714"/>
        <v>0</v>
      </c>
      <c r="X312" s="406"/>
      <c r="Y312" s="411"/>
      <c r="Z312" s="412">
        <f t="shared" si="1776"/>
        <v>0</v>
      </c>
      <c r="AA312" s="413"/>
      <c r="AB312" s="413"/>
      <c r="AC312" s="413"/>
      <c r="AD312" s="413"/>
      <c r="AE312" s="413"/>
      <c r="AF312" s="413"/>
      <c r="AG312" s="413"/>
      <c r="AH312" s="413"/>
      <c r="AI312" s="413"/>
      <c r="AJ312" s="413"/>
      <c r="AK312" s="413"/>
      <c r="AL312" s="413"/>
      <c r="AM312" s="572"/>
      <c r="AN312" s="351" t="s">
        <v>73</v>
      </c>
      <c r="AO312" s="351" t="str">
        <f t="shared" si="1762"/>
        <v>F1News.ru</v>
      </c>
      <c r="AP312" s="115">
        <f t="shared" si="1544"/>
        <v>18</v>
      </c>
      <c r="AQ312" s="31">
        <f t="shared" ca="1" si="1777"/>
        <v>0.25</v>
      </c>
      <c r="AR312" s="31">
        <f t="shared" ca="1" si="1777"/>
        <v>0.15</v>
      </c>
      <c r="AS312" s="35">
        <v>0</v>
      </c>
      <c r="AT312" s="229">
        <v>0</v>
      </c>
      <c r="AU312" s="344">
        <f t="shared" ca="1" si="1778"/>
        <v>220</v>
      </c>
      <c r="AV312" s="345">
        <f t="shared" ca="1" si="1779"/>
        <v>220</v>
      </c>
      <c r="AW312" s="346">
        <f t="shared" ca="1" si="1780"/>
        <v>220</v>
      </c>
      <c r="AX312" s="280"/>
      <c r="AY312" s="280"/>
      <c r="AZ312" s="347">
        <f t="shared" ca="1" si="1781"/>
        <v>220</v>
      </c>
      <c r="BA312" s="348">
        <f t="shared" ca="1" si="1782"/>
        <v>220</v>
      </c>
      <c r="BB312" s="347">
        <f t="shared" ca="1" si="1783"/>
        <v>1</v>
      </c>
      <c r="BC312" s="37" t="str">
        <f t="shared" ca="1" si="1783"/>
        <v>1000 контактов</v>
      </c>
      <c r="BD312" s="229" t="str">
        <f t="shared" ca="1" si="1784"/>
        <v>х1000</v>
      </c>
      <c r="BE312" s="283">
        <f t="shared" ca="1" si="1763"/>
        <v>0</v>
      </c>
      <c r="BF312" s="347">
        <f t="array" aca="1" ref="BF312" ca="1">SUM($K312:$V312*$BK312:$BV312)*$AZ312</f>
        <v>0</v>
      </c>
      <c r="BG312" s="347">
        <f t="array" aca="1" ref="BG312" ca="1">SUM($K312:$V312*$BY312:$CJ312*$BK312:$BV312)*$AZ312*$BX312</f>
        <v>0</v>
      </c>
      <c r="BH312" s="347">
        <f t="array" aca="1" ref="BH312" ca="1">SUM($K312:$V312*$BY312:$CJ312*$BK312:$BV312)*(1-$BE312)*$AZ312*$BX312</f>
        <v>0</v>
      </c>
      <c r="BI312" s="350">
        <f t="shared" ca="1" si="1785"/>
        <v>0</v>
      </c>
      <c r="BJ312" s="275" t="str">
        <f t="shared" ca="1" si="1786"/>
        <v>Да</v>
      </c>
      <c r="BK312" s="116">
        <f t="shared" ca="1" si="1787"/>
        <v>0.8</v>
      </c>
      <c r="BL312" s="117">
        <f t="shared" ca="1" si="1787"/>
        <v>0.9</v>
      </c>
      <c r="BM312" s="117">
        <f t="shared" ca="1" si="1787"/>
        <v>1</v>
      </c>
      <c r="BN312" s="117">
        <f t="shared" ca="1" si="1787"/>
        <v>1</v>
      </c>
      <c r="BO312" s="117">
        <f t="shared" ca="1" si="1787"/>
        <v>1</v>
      </c>
      <c r="BP312" s="117">
        <f t="shared" ca="1" si="1787"/>
        <v>1</v>
      </c>
      <c r="BQ312" s="117">
        <f t="shared" ca="1" si="1787"/>
        <v>0.9</v>
      </c>
      <c r="BR312" s="117">
        <f t="shared" ca="1" si="1787"/>
        <v>0.9</v>
      </c>
      <c r="BS312" s="117">
        <f t="shared" ca="1" si="1787"/>
        <v>1.3</v>
      </c>
      <c r="BT312" s="117">
        <f t="shared" ca="1" si="1787"/>
        <v>1.3</v>
      </c>
      <c r="BU312" s="117">
        <f t="shared" ca="1" si="1787"/>
        <v>1.3</v>
      </c>
      <c r="BV312" s="278">
        <f t="shared" ca="1" si="1787"/>
        <v>1.3</v>
      </c>
      <c r="BW312" s="280">
        <f t="shared" si="1764"/>
        <v>4</v>
      </c>
      <c r="BX312" s="118">
        <f>IF($AN312="Ya",100%,100%+extraDelayZ)</f>
        <v>1</v>
      </c>
      <c r="BY312" s="263">
        <f t="shared" si="1788"/>
        <v>1</v>
      </c>
      <c r="BZ312" s="264">
        <f t="shared" si="1789"/>
        <v>1</v>
      </c>
      <c r="CA312" s="264">
        <f t="shared" si="1790"/>
        <v>1</v>
      </c>
      <c r="CB312" s="264">
        <f t="shared" si="1791"/>
        <v>1</v>
      </c>
      <c r="CC312" s="264">
        <f t="shared" si="1792"/>
        <v>1</v>
      </c>
      <c r="CD312" s="264">
        <f t="shared" si="1793"/>
        <v>1</v>
      </c>
      <c r="CE312" s="264">
        <f t="shared" si="1794"/>
        <v>1</v>
      </c>
      <c r="CF312" s="264">
        <f t="shared" si="1795"/>
        <v>1</v>
      </c>
      <c r="CG312" s="264">
        <f t="shared" si="1796"/>
        <v>1</v>
      </c>
      <c r="CH312" s="264">
        <f t="shared" si="1797"/>
        <v>1</v>
      </c>
      <c r="CI312" s="264">
        <f t="shared" si="1798"/>
        <v>1</v>
      </c>
      <c r="CJ312" s="265">
        <f t="shared" si="1799"/>
        <v>1</v>
      </c>
      <c r="CK312" s="269">
        <f t="array" ref="CK312">IF(ISERROR(SUM($K312:$V312*$BY312:$CJ312)/SUM($K312:$V312)),1,SUM($K312:$V312*$BY312:$CJ312)/SUM($K312:$V312))-1</f>
        <v>0</v>
      </c>
      <c r="CL312" s="234"/>
    </row>
    <row r="313" spans="1:90" ht="12.75" hidden="1" outlineLevel="1" x14ac:dyDescent="0.2">
      <c r="B313" s="404" t="str">
        <f t="shared" ca="1" si="1767"/>
        <v>Пакет "Охват 600К", 240х400</v>
      </c>
      <c r="C313" s="649" t="str">
        <f t="shared" ca="1" si="1768"/>
        <v>Пакет</v>
      </c>
      <c r="D313" s="405">
        <f t="shared" ca="1" si="1769"/>
        <v>300</v>
      </c>
      <c r="E313" s="405">
        <f t="shared" ca="1" si="1770"/>
        <v>300</v>
      </c>
      <c r="F313" s="405">
        <f t="shared" ca="1" si="1771"/>
        <v>300</v>
      </c>
      <c r="G313" s="406">
        <f t="shared" ca="1" si="1772"/>
        <v>180000</v>
      </c>
      <c r="H313" s="406">
        <f t="shared" ca="1" si="1773"/>
        <v>180000</v>
      </c>
      <c r="I313" s="406">
        <f t="shared" ca="1" si="1774"/>
        <v>0</v>
      </c>
      <c r="J313" s="407">
        <f t="shared" ca="1" si="1775"/>
        <v>0</v>
      </c>
      <c r="K313" s="408"/>
      <c r="L313" s="409"/>
      <c r="M313" s="409"/>
      <c r="N313" s="409"/>
      <c r="O313" s="409"/>
      <c r="P313" s="409"/>
      <c r="Q313" s="409"/>
      <c r="R313" s="409"/>
      <c r="S313" s="409"/>
      <c r="T313" s="409"/>
      <c r="U313" s="409"/>
      <c r="V313" s="410"/>
      <c r="W313" s="406">
        <f t="shared" ca="1" si="1714"/>
        <v>0</v>
      </c>
      <c r="X313" s="406"/>
      <c r="Y313" s="411"/>
      <c r="Z313" s="412">
        <f t="shared" si="1776"/>
        <v>0</v>
      </c>
      <c r="AA313" s="413"/>
      <c r="AB313" s="413"/>
      <c r="AC313" s="413"/>
      <c r="AD313" s="413"/>
      <c r="AE313" s="413"/>
      <c r="AF313" s="413"/>
      <c r="AG313" s="413"/>
      <c r="AH313" s="413"/>
      <c r="AI313" s="413"/>
      <c r="AJ313" s="413"/>
      <c r="AK313" s="413"/>
      <c r="AL313" s="413"/>
      <c r="AM313" s="572"/>
      <c r="AN313" s="351" t="s">
        <v>73</v>
      </c>
      <c r="AO313" s="351" t="str">
        <f t="shared" si="1762"/>
        <v>F1News.ru</v>
      </c>
      <c r="AP313" s="115">
        <f t="shared" si="1544"/>
        <v>18</v>
      </c>
      <c r="AQ313" s="31">
        <f t="shared" ca="1" si="1777"/>
        <v>0.25</v>
      </c>
      <c r="AR313" s="31" t="str">
        <f t="shared" ca="1" si="1777"/>
        <v>-</v>
      </c>
      <c r="AS313" s="34">
        <v>0</v>
      </c>
      <c r="AT313" s="229">
        <v>0</v>
      </c>
      <c r="AU313" s="344">
        <f t="shared" ca="1" si="1778"/>
        <v>300</v>
      </c>
      <c r="AV313" s="345">
        <f t="shared" ca="1" si="1779"/>
        <v>300</v>
      </c>
      <c r="AW313" s="346">
        <f t="shared" ca="1" si="1780"/>
        <v>300</v>
      </c>
      <c r="AX313" s="280"/>
      <c r="AY313" s="280"/>
      <c r="AZ313" s="347">
        <f t="shared" ca="1" si="1781"/>
        <v>180000</v>
      </c>
      <c r="BA313" s="348">
        <f t="shared" ca="1" si="1782"/>
        <v>180000</v>
      </c>
      <c r="BB313" s="347">
        <f t="shared" ca="1" si="1783"/>
        <v>600</v>
      </c>
      <c r="BC313" s="37" t="str">
        <f t="shared" ca="1" si="1783"/>
        <v>Пакет</v>
      </c>
      <c r="BD313" s="229" t="str">
        <f t="shared" ca="1" si="1784"/>
        <v>Пакет</v>
      </c>
      <c r="BE313" s="283">
        <f t="shared" ca="1" si="1763"/>
        <v>0</v>
      </c>
      <c r="BF313" s="347">
        <f t="array" aca="1" ref="BF313" ca="1">SUM($K313:$V313*$BK313:$BV313)*$AZ313</f>
        <v>0</v>
      </c>
      <c r="BG313" s="347">
        <f t="array" aca="1" ref="BG313" ca="1">SUM($K313:$V313*$BY313:$CJ313*$BK313:$BV313)*$AZ313*$BX313</f>
        <v>0</v>
      </c>
      <c r="BH313" s="347">
        <f t="array" aca="1" ref="BH313" ca="1">SUM($K313:$V313*$BY313:$CJ313*$BK313:$BV313)*(1-$BE313)*$AZ313*$BX313</f>
        <v>0</v>
      </c>
      <c r="BI313" s="350">
        <f t="shared" ca="1" si="1785"/>
        <v>0</v>
      </c>
      <c r="BJ313" s="275" t="str">
        <f t="shared" ca="1" si="1786"/>
        <v>Да</v>
      </c>
      <c r="BK313" s="116">
        <f t="shared" ca="1" si="1787"/>
        <v>0.8</v>
      </c>
      <c r="BL313" s="117">
        <f t="shared" ca="1" si="1787"/>
        <v>0.9</v>
      </c>
      <c r="BM313" s="117">
        <f t="shared" ca="1" si="1787"/>
        <v>1</v>
      </c>
      <c r="BN313" s="117">
        <f t="shared" ca="1" si="1787"/>
        <v>1</v>
      </c>
      <c r="BO313" s="117">
        <f t="shared" ca="1" si="1787"/>
        <v>1</v>
      </c>
      <c r="BP313" s="117">
        <f t="shared" ca="1" si="1787"/>
        <v>1</v>
      </c>
      <c r="BQ313" s="117">
        <f t="shared" ca="1" si="1787"/>
        <v>0.9</v>
      </c>
      <c r="BR313" s="117">
        <f t="shared" ca="1" si="1787"/>
        <v>0.9</v>
      </c>
      <c r="BS313" s="117">
        <f t="shared" ca="1" si="1787"/>
        <v>1.3</v>
      </c>
      <c r="BT313" s="117">
        <f t="shared" ca="1" si="1787"/>
        <v>1.3</v>
      </c>
      <c r="BU313" s="117">
        <f t="shared" ca="1" si="1787"/>
        <v>1.3</v>
      </c>
      <c r="BV313" s="278">
        <f t="shared" ca="1" si="1787"/>
        <v>1.3</v>
      </c>
      <c r="BW313" s="280">
        <f t="shared" si="1764"/>
        <v>5</v>
      </c>
      <c r="BX313" s="118">
        <f>IF($AN313="Ya",100%,100%+extraDelayZ)</f>
        <v>1</v>
      </c>
      <c r="BY313" s="263">
        <f t="shared" si="1788"/>
        <v>1</v>
      </c>
      <c r="BZ313" s="264">
        <f t="shared" si="1789"/>
        <v>1</v>
      </c>
      <c r="CA313" s="264">
        <f t="shared" si="1790"/>
        <v>1</v>
      </c>
      <c r="CB313" s="264">
        <f t="shared" si="1791"/>
        <v>1</v>
      </c>
      <c r="CC313" s="264">
        <f t="shared" si="1792"/>
        <v>1</v>
      </c>
      <c r="CD313" s="264">
        <f t="shared" si="1793"/>
        <v>1</v>
      </c>
      <c r="CE313" s="264">
        <f t="shared" si="1794"/>
        <v>1</v>
      </c>
      <c r="CF313" s="264">
        <f t="shared" si="1795"/>
        <v>1</v>
      </c>
      <c r="CG313" s="264">
        <f t="shared" si="1796"/>
        <v>1</v>
      </c>
      <c r="CH313" s="264">
        <f t="shared" si="1797"/>
        <v>1</v>
      </c>
      <c r="CI313" s="264">
        <f t="shared" si="1798"/>
        <v>1</v>
      </c>
      <c r="CJ313" s="265">
        <f t="shared" si="1799"/>
        <v>1</v>
      </c>
      <c r="CK313" s="269">
        <f t="array" ref="CK313">IF(ISERROR(SUM($K313:$V313*$BY313:$CJ313)/SUM($K313:$V313)),1,SUM($K313:$V313*$BY313:$CJ313)/SUM($K313:$V313))-1</f>
        <v>0</v>
      </c>
      <c r="CL313" s="234"/>
    </row>
    <row r="314" spans="1:90" ht="12.75" hidden="1" outlineLevel="1" x14ac:dyDescent="0.2">
      <c r="B314" s="404" t="str">
        <f t="shared" ca="1" si="1767"/>
        <v>Пакет "Охват 1000К", 240х400</v>
      </c>
      <c r="C314" s="649" t="str">
        <f t="shared" ca="1" si="1768"/>
        <v>Пакет</v>
      </c>
      <c r="D314" s="405">
        <f t="shared" ca="1" si="1769"/>
        <v>250</v>
      </c>
      <c r="E314" s="405">
        <f t="shared" ca="1" si="1770"/>
        <v>250</v>
      </c>
      <c r="F314" s="405">
        <f t="shared" ca="1" si="1771"/>
        <v>250</v>
      </c>
      <c r="G314" s="406">
        <f t="shared" ca="1" si="1772"/>
        <v>250000</v>
      </c>
      <c r="H314" s="406">
        <f t="shared" ca="1" si="1773"/>
        <v>250000</v>
      </c>
      <c r="I314" s="406">
        <f t="shared" ca="1" si="1774"/>
        <v>0</v>
      </c>
      <c r="J314" s="407">
        <f t="shared" ca="1" si="1775"/>
        <v>0</v>
      </c>
      <c r="K314" s="408"/>
      <c r="L314" s="409"/>
      <c r="M314" s="409"/>
      <c r="N314" s="409"/>
      <c r="O314" s="409"/>
      <c r="P314" s="409"/>
      <c r="Q314" s="409"/>
      <c r="R314" s="409"/>
      <c r="S314" s="409"/>
      <c r="T314" s="409"/>
      <c r="U314" s="409"/>
      <c r="V314" s="410"/>
      <c r="W314" s="406">
        <f t="shared" ca="1" si="1714"/>
        <v>0</v>
      </c>
      <c r="X314" s="406"/>
      <c r="Y314" s="411"/>
      <c r="Z314" s="412">
        <f t="shared" ref="Z314" si="1800">CK314</f>
        <v>0</v>
      </c>
      <c r="AA314" s="413"/>
      <c r="AB314" s="413"/>
      <c r="AC314" s="413"/>
      <c r="AD314" s="413"/>
      <c r="AE314" s="413"/>
      <c r="AF314" s="413"/>
      <c r="AG314" s="413"/>
      <c r="AH314" s="413"/>
      <c r="AI314" s="413"/>
      <c r="AJ314" s="413"/>
      <c r="AK314" s="413"/>
      <c r="AL314" s="413"/>
      <c r="AM314" s="572"/>
      <c r="AN314" s="351" t="s">
        <v>73</v>
      </c>
      <c r="AO314" s="351" t="str">
        <f t="shared" si="1762"/>
        <v>F1News.ru</v>
      </c>
      <c r="AP314" s="115">
        <f t="shared" si="1544"/>
        <v>18</v>
      </c>
      <c r="AQ314" s="31">
        <f t="shared" ca="1" si="1777"/>
        <v>0.25</v>
      </c>
      <c r="AR314" s="31" t="str">
        <f t="shared" ca="1" si="1777"/>
        <v>-</v>
      </c>
      <c r="AS314" s="34">
        <v>0</v>
      </c>
      <c r="AT314" s="229">
        <v>0</v>
      </c>
      <c r="AU314" s="344">
        <f t="shared" ca="1" si="1778"/>
        <v>250</v>
      </c>
      <c r="AV314" s="345">
        <f t="shared" ca="1" si="1779"/>
        <v>250</v>
      </c>
      <c r="AW314" s="346">
        <f t="shared" ca="1" si="1780"/>
        <v>250</v>
      </c>
      <c r="AX314" s="280"/>
      <c r="AY314" s="280"/>
      <c r="AZ314" s="347">
        <f t="shared" ca="1" si="1781"/>
        <v>250000</v>
      </c>
      <c r="BA314" s="348">
        <f t="shared" ca="1" si="1782"/>
        <v>250000</v>
      </c>
      <c r="BB314" s="347">
        <f t="shared" ca="1" si="1783"/>
        <v>1000</v>
      </c>
      <c r="BC314" s="37" t="str">
        <f t="shared" ca="1" si="1783"/>
        <v>Пакет</v>
      </c>
      <c r="BD314" s="229" t="str">
        <f t="shared" ca="1" si="1784"/>
        <v>Пакет</v>
      </c>
      <c r="BE314" s="283">
        <f t="shared" ca="1" si="1763"/>
        <v>0</v>
      </c>
      <c r="BF314" s="347">
        <f t="array" aca="1" ref="BF314" ca="1">SUM($K314:$V314*$BK314:$BV314)*$AZ314</f>
        <v>0</v>
      </c>
      <c r="BG314" s="347">
        <f t="array" aca="1" ref="BG314" ca="1">SUM($K314:$V314*$BY314:$CJ314*$BK314:$BV314)*$AZ314*$BX314</f>
        <v>0</v>
      </c>
      <c r="BH314" s="347">
        <f t="array" aca="1" ref="BH314" ca="1">SUM($K314:$V314*$BY314:$CJ314*$BK314:$BV314)*(1-$BE314)*$AZ314*$BX314</f>
        <v>0</v>
      </c>
      <c r="BI314" s="350">
        <f t="shared" ca="1" si="1785"/>
        <v>0</v>
      </c>
      <c r="BJ314" s="275" t="str">
        <f t="shared" ca="1" si="1786"/>
        <v>Да</v>
      </c>
      <c r="BK314" s="116">
        <f t="shared" ca="1" si="1787"/>
        <v>0.8</v>
      </c>
      <c r="BL314" s="117">
        <f t="shared" ca="1" si="1787"/>
        <v>0.9</v>
      </c>
      <c r="BM314" s="117">
        <f t="shared" ca="1" si="1787"/>
        <v>1</v>
      </c>
      <c r="BN314" s="117">
        <f t="shared" ca="1" si="1787"/>
        <v>1</v>
      </c>
      <c r="BO314" s="117">
        <f t="shared" ca="1" si="1787"/>
        <v>1</v>
      </c>
      <c r="BP314" s="117">
        <f t="shared" ca="1" si="1787"/>
        <v>1</v>
      </c>
      <c r="BQ314" s="117">
        <f t="shared" ca="1" si="1787"/>
        <v>0.9</v>
      </c>
      <c r="BR314" s="117">
        <f t="shared" ca="1" si="1787"/>
        <v>0.9</v>
      </c>
      <c r="BS314" s="117">
        <f t="shared" ca="1" si="1787"/>
        <v>1.3</v>
      </c>
      <c r="BT314" s="117">
        <f t="shared" ca="1" si="1787"/>
        <v>1.3</v>
      </c>
      <c r="BU314" s="117">
        <f t="shared" ca="1" si="1787"/>
        <v>1.3</v>
      </c>
      <c r="BV314" s="278">
        <f t="shared" ca="1" si="1787"/>
        <v>1.3</v>
      </c>
      <c r="BW314" s="280">
        <f t="shared" si="1764"/>
        <v>6</v>
      </c>
      <c r="BX314" s="118">
        <f>IF($AN314="Ya",100%,100%+extraDelayZ)</f>
        <v>1</v>
      </c>
      <c r="BY314" s="263">
        <f t="shared" ref="BY314" si="1801">(1+AA314)</f>
        <v>1</v>
      </c>
      <c r="BZ314" s="264">
        <f t="shared" ref="BZ314" si="1802">(1+AB314)</f>
        <v>1</v>
      </c>
      <c r="CA314" s="264">
        <f t="shared" ref="CA314" si="1803">(1+AC314)</f>
        <v>1</v>
      </c>
      <c r="CB314" s="264">
        <f t="shared" ref="CB314" si="1804">(1+AD314)</f>
        <v>1</v>
      </c>
      <c r="CC314" s="264">
        <f t="shared" ref="CC314" si="1805">(1+AE314)</f>
        <v>1</v>
      </c>
      <c r="CD314" s="264">
        <f t="shared" ref="CD314" si="1806">(1+AF314)</f>
        <v>1</v>
      </c>
      <c r="CE314" s="264">
        <f t="shared" ref="CE314" si="1807">(1+AG314)</f>
        <v>1</v>
      </c>
      <c r="CF314" s="264">
        <f t="shared" ref="CF314" si="1808">(1+AH314)</f>
        <v>1</v>
      </c>
      <c r="CG314" s="264">
        <f t="shared" ref="CG314" si="1809">(1+AI314)</f>
        <v>1</v>
      </c>
      <c r="CH314" s="264">
        <f t="shared" ref="CH314" si="1810">(1+AJ314)</f>
        <v>1</v>
      </c>
      <c r="CI314" s="264">
        <f t="shared" ref="CI314" si="1811">(1+AK314)</f>
        <v>1</v>
      </c>
      <c r="CJ314" s="265">
        <f t="shared" ref="CJ314" si="1812">(1+AL314)</f>
        <v>1</v>
      </c>
      <c r="CK314" s="269">
        <f t="array" ref="CK314">IF(ISERROR(SUM($K314:$V314*$BY314:$CJ314)/SUM($K314:$V314)),1,SUM($K314:$V314*$BY314:$CJ314)/SUM($K314:$V314))-1</f>
        <v>0</v>
      </c>
      <c r="CL314" s="234"/>
    </row>
    <row r="315" spans="1:90" ht="12.75" hidden="1" outlineLevel="1" x14ac:dyDescent="0.2">
      <c r="B315" s="404" t="str">
        <f t="shared" ca="1" si="1767"/>
        <v>Пакет "Охват 600К", 300х500</v>
      </c>
      <c r="C315" s="649" t="str">
        <f t="shared" ca="1" si="1768"/>
        <v>Пакет</v>
      </c>
      <c r="D315" s="405">
        <f t="shared" ca="1" si="1769"/>
        <v>500</v>
      </c>
      <c r="E315" s="405">
        <f t="shared" ca="1" si="1770"/>
        <v>500</v>
      </c>
      <c r="F315" s="405">
        <f t="shared" ca="1" si="1771"/>
        <v>500</v>
      </c>
      <c r="G315" s="406">
        <f t="shared" ca="1" si="1772"/>
        <v>300000</v>
      </c>
      <c r="H315" s="406">
        <f t="shared" ca="1" si="1773"/>
        <v>300000</v>
      </c>
      <c r="I315" s="406">
        <f t="shared" ca="1" si="1774"/>
        <v>0</v>
      </c>
      <c r="J315" s="407">
        <f t="shared" ca="1" si="1775"/>
        <v>0</v>
      </c>
      <c r="K315" s="408"/>
      <c r="L315" s="409"/>
      <c r="M315" s="409"/>
      <c r="N315" s="409"/>
      <c r="O315" s="409"/>
      <c r="P315" s="409"/>
      <c r="Q315" s="409"/>
      <c r="R315" s="409"/>
      <c r="S315" s="409"/>
      <c r="T315" s="409"/>
      <c r="U315" s="409"/>
      <c r="V315" s="410"/>
      <c r="W315" s="406">
        <f t="shared" ca="1" si="1714"/>
        <v>0</v>
      </c>
      <c r="X315" s="406"/>
      <c r="Y315" s="411"/>
      <c r="Z315" s="412">
        <f t="shared" ref="Z315" si="1813">CK315</f>
        <v>0</v>
      </c>
      <c r="AA315" s="413"/>
      <c r="AB315" s="413"/>
      <c r="AC315" s="413"/>
      <c r="AD315" s="413"/>
      <c r="AE315" s="413"/>
      <c r="AF315" s="413"/>
      <c r="AG315" s="413"/>
      <c r="AH315" s="413"/>
      <c r="AI315" s="413"/>
      <c r="AJ315" s="413"/>
      <c r="AK315" s="413"/>
      <c r="AL315" s="413"/>
      <c r="AM315" s="572"/>
      <c r="AN315" s="351" t="s">
        <v>73</v>
      </c>
      <c r="AO315" s="351" t="str">
        <f t="shared" si="1762"/>
        <v>F1News.ru</v>
      </c>
      <c r="AP315" s="115">
        <f t="shared" si="1544"/>
        <v>18</v>
      </c>
      <c r="AQ315" s="31">
        <f t="shared" ca="1" si="1777"/>
        <v>0.25</v>
      </c>
      <c r="AR315" s="31" t="str">
        <f t="shared" ca="1" si="1777"/>
        <v>-</v>
      </c>
      <c r="AS315" s="34">
        <v>0</v>
      </c>
      <c r="AT315" s="229">
        <v>0</v>
      </c>
      <c r="AU315" s="344">
        <f t="shared" ca="1" si="1778"/>
        <v>500</v>
      </c>
      <c r="AV315" s="345">
        <f t="shared" ca="1" si="1779"/>
        <v>500</v>
      </c>
      <c r="AW315" s="346">
        <f t="shared" ca="1" si="1780"/>
        <v>500</v>
      </c>
      <c r="AX315" s="280"/>
      <c r="AY315" s="280"/>
      <c r="AZ315" s="347">
        <f t="shared" ca="1" si="1781"/>
        <v>300000</v>
      </c>
      <c r="BA315" s="348">
        <f t="shared" ca="1" si="1782"/>
        <v>300000</v>
      </c>
      <c r="BB315" s="347">
        <f t="shared" ca="1" si="1783"/>
        <v>600</v>
      </c>
      <c r="BC315" s="37" t="str">
        <f t="shared" ca="1" si="1783"/>
        <v>Пакет</v>
      </c>
      <c r="BD315" s="229" t="str">
        <f t="shared" ca="1" si="1784"/>
        <v>Пакет</v>
      </c>
      <c r="BE315" s="283">
        <f t="shared" ca="1" si="1763"/>
        <v>0</v>
      </c>
      <c r="BF315" s="347">
        <f t="array" aca="1" ref="BF315" ca="1">SUM($K315:$V315*$BK315:$BV315)*$AZ315</f>
        <v>0</v>
      </c>
      <c r="BG315" s="347">
        <f t="array" aca="1" ref="BG315" ca="1">SUM($K315:$V315*$BY315:$CJ315*$BK315:$BV315)*$AZ315*$BX315</f>
        <v>0</v>
      </c>
      <c r="BH315" s="347">
        <f t="array" aca="1" ref="BH315" ca="1">SUM($K315:$V315*$BY315:$CJ315*$BK315:$BV315)*(1-$BE315)*$AZ315*$BX315</f>
        <v>0</v>
      </c>
      <c r="BI315" s="350">
        <f t="shared" ca="1" si="1785"/>
        <v>0</v>
      </c>
      <c r="BJ315" s="275" t="str">
        <f t="shared" ca="1" si="1786"/>
        <v>Да</v>
      </c>
      <c r="BK315" s="116">
        <f t="shared" ca="1" si="1787"/>
        <v>0.8</v>
      </c>
      <c r="BL315" s="117">
        <f t="shared" ca="1" si="1787"/>
        <v>0.9</v>
      </c>
      <c r="BM315" s="117">
        <f t="shared" ca="1" si="1787"/>
        <v>1</v>
      </c>
      <c r="BN315" s="117">
        <f t="shared" ca="1" si="1787"/>
        <v>1</v>
      </c>
      <c r="BO315" s="117">
        <f t="shared" ca="1" si="1787"/>
        <v>1</v>
      </c>
      <c r="BP315" s="117">
        <f t="shared" ca="1" si="1787"/>
        <v>1</v>
      </c>
      <c r="BQ315" s="117">
        <f t="shared" ca="1" si="1787"/>
        <v>0.9</v>
      </c>
      <c r="BR315" s="117">
        <f t="shared" ca="1" si="1787"/>
        <v>0.9</v>
      </c>
      <c r="BS315" s="117">
        <f t="shared" ca="1" si="1787"/>
        <v>1.3</v>
      </c>
      <c r="BT315" s="117">
        <f t="shared" ca="1" si="1787"/>
        <v>1.3</v>
      </c>
      <c r="BU315" s="117">
        <f t="shared" ca="1" si="1787"/>
        <v>1.3</v>
      </c>
      <c r="BV315" s="278">
        <f t="shared" ca="1" si="1787"/>
        <v>1.3</v>
      </c>
      <c r="BW315" s="280">
        <f t="shared" si="1764"/>
        <v>7</v>
      </c>
      <c r="BX315" s="118">
        <f>IF($AN315="Ya",100%,100%+extraDelayZ)</f>
        <v>1</v>
      </c>
      <c r="BY315" s="263">
        <f t="shared" ref="BY315" si="1814">(1+AA315)</f>
        <v>1</v>
      </c>
      <c r="BZ315" s="264">
        <f t="shared" ref="BZ315" si="1815">(1+AB315)</f>
        <v>1</v>
      </c>
      <c r="CA315" s="264">
        <f t="shared" ref="CA315" si="1816">(1+AC315)</f>
        <v>1</v>
      </c>
      <c r="CB315" s="264">
        <f t="shared" ref="CB315" si="1817">(1+AD315)</f>
        <v>1</v>
      </c>
      <c r="CC315" s="264">
        <f t="shared" ref="CC315" si="1818">(1+AE315)</f>
        <v>1</v>
      </c>
      <c r="CD315" s="264">
        <f t="shared" ref="CD315" si="1819">(1+AF315)</f>
        <v>1</v>
      </c>
      <c r="CE315" s="264">
        <f t="shared" ref="CE315" si="1820">(1+AG315)</f>
        <v>1</v>
      </c>
      <c r="CF315" s="264">
        <f t="shared" ref="CF315" si="1821">(1+AH315)</f>
        <v>1</v>
      </c>
      <c r="CG315" s="264">
        <f t="shared" ref="CG315" si="1822">(1+AI315)</f>
        <v>1</v>
      </c>
      <c r="CH315" s="264">
        <f t="shared" ref="CH315" si="1823">(1+AJ315)</f>
        <v>1</v>
      </c>
      <c r="CI315" s="264">
        <f t="shared" ref="CI315" si="1824">(1+AK315)</f>
        <v>1</v>
      </c>
      <c r="CJ315" s="265">
        <f t="shared" ref="CJ315" si="1825">(1+AL315)</f>
        <v>1</v>
      </c>
      <c r="CK315" s="269">
        <f t="array" ref="CK315">IF(ISERROR(SUM($K315:$V315*$BY315:$CJ315)/SUM($K315:$V315)),1,SUM($K315:$V315*$BY315:$CJ315)/SUM($K315:$V315))-1</f>
        <v>0</v>
      </c>
      <c r="CL315" s="234"/>
    </row>
    <row r="316" spans="1:90" ht="12.75" hidden="1" outlineLevel="1" x14ac:dyDescent="0.2">
      <c r="B316" s="404" t="str">
        <f t="shared" ca="1" si="1767"/>
        <v>Пакет "Охват 1000К", 300х500</v>
      </c>
      <c r="C316" s="649" t="str">
        <f t="shared" ca="1" si="1768"/>
        <v>Пакет</v>
      </c>
      <c r="D316" s="405">
        <f t="shared" ca="1" si="1769"/>
        <v>400</v>
      </c>
      <c r="E316" s="405">
        <f t="shared" ca="1" si="1770"/>
        <v>400</v>
      </c>
      <c r="F316" s="405">
        <f t="shared" ca="1" si="1771"/>
        <v>400</v>
      </c>
      <c r="G316" s="406">
        <f t="shared" ca="1" si="1772"/>
        <v>400000</v>
      </c>
      <c r="H316" s="406">
        <f t="shared" ca="1" si="1773"/>
        <v>400000</v>
      </c>
      <c r="I316" s="406">
        <f t="shared" ca="1" si="1774"/>
        <v>0</v>
      </c>
      <c r="J316" s="407">
        <f t="shared" ca="1" si="1775"/>
        <v>0</v>
      </c>
      <c r="K316" s="408"/>
      <c r="L316" s="409"/>
      <c r="M316" s="409"/>
      <c r="N316" s="409"/>
      <c r="O316" s="409"/>
      <c r="P316" s="409"/>
      <c r="Q316" s="409"/>
      <c r="R316" s="409"/>
      <c r="S316" s="409"/>
      <c r="T316" s="409"/>
      <c r="U316" s="409"/>
      <c r="V316" s="410"/>
      <c r="W316" s="406">
        <f t="shared" ca="1" si="1714"/>
        <v>0</v>
      </c>
      <c r="X316" s="406"/>
      <c r="Y316" s="411"/>
      <c r="Z316" s="412">
        <f t="shared" ref="Z316" si="1826">CK316</f>
        <v>0</v>
      </c>
      <c r="AA316" s="413"/>
      <c r="AB316" s="413"/>
      <c r="AC316" s="413"/>
      <c r="AD316" s="413"/>
      <c r="AE316" s="413"/>
      <c r="AF316" s="413"/>
      <c r="AG316" s="413"/>
      <c r="AH316" s="413"/>
      <c r="AI316" s="413"/>
      <c r="AJ316" s="413"/>
      <c r="AK316" s="413"/>
      <c r="AL316" s="413"/>
      <c r="AM316" s="572"/>
      <c r="AN316" s="351" t="s">
        <v>73</v>
      </c>
      <c r="AO316" s="351" t="str">
        <f t="shared" si="1762"/>
        <v>F1News.ru</v>
      </c>
      <c r="AP316" s="115">
        <f t="shared" si="1544"/>
        <v>18</v>
      </c>
      <c r="AQ316" s="31">
        <f t="shared" ca="1" si="1777"/>
        <v>0.25</v>
      </c>
      <c r="AR316" s="31" t="str">
        <f t="shared" ca="1" si="1777"/>
        <v>-</v>
      </c>
      <c r="AS316" s="34">
        <v>0</v>
      </c>
      <c r="AT316" s="229">
        <v>0</v>
      </c>
      <c r="AU316" s="344">
        <f t="shared" ca="1" si="1778"/>
        <v>400</v>
      </c>
      <c r="AV316" s="345">
        <f t="shared" ca="1" si="1779"/>
        <v>400</v>
      </c>
      <c r="AW316" s="346">
        <f t="shared" ca="1" si="1780"/>
        <v>400</v>
      </c>
      <c r="AX316" s="280"/>
      <c r="AY316" s="280"/>
      <c r="AZ316" s="347">
        <f t="shared" ca="1" si="1781"/>
        <v>400000</v>
      </c>
      <c r="BA316" s="348">
        <f t="shared" ca="1" si="1782"/>
        <v>400000</v>
      </c>
      <c r="BB316" s="347">
        <f t="shared" ca="1" si="1783"/>
        <v>1000</v>
      </c>
      <c r="BC316" s="37" t="str">
        <f t="shared" ca="1" si="1783"/>
        <v>Пакет</v>
      </c>
      <c r="BD316" s="229" t="str">
        <f t="shared" ca="1" si="1784"/>
        <v>Пакет</v>
      </c>
      <c r="BE316" s="283">
        <f t="shared" ca="1" si="1763"/>
        <v>0</v>
      </c>
      <c r="BF316" s="347">
        <f t="array" aca="1" ref="BF316" ca="1">SUM($K316:$V316*$BK316:$BV316)*$AZ316</f>
        <v>0</v>
      </c>
      <c r="BG316" s="347">
        <f t="array" aca="1" ref="BG316" ca="1">SUM($K316:$V316*$BY316:$CJ316*$BK316:$BV316)*$AZ316*$BX316</f>
        <v>0</v>
      </c>
      <c r="BH316" s="347">
        <f t="array" aca="1" ref="BH316" ca="1">SUM($K316:$V316*$BY316:$CJ316*$BK316:$BV316)*(1-$BE316)*$AZ316*$BX316</f>
        <v>0</v>
      </c>
      <c r="BI316" s="350">
        <f t="shared" ca="1" si="1785"/>
        <v>0</v>
      </c>
      <c r="BJ316" s="275" t="str">
        <f t="shared" ca="1" si="1786"/>
        <v>Да</v>
      </c>
      <c r="BK316" s="116">
        <f t="shared" ca="1" si="1787"/>
        <v>0.8</v>
      </c>
      <c r="BL316" s="117">
        <f t="shared" ca="1" si="1787"/>
        <v>0.9</v>
      </c>
      <c r="BM316" s="117">
        <f t="shared" ca="1" si="1787"/>
        <v>1</v>
      </c>
      <c r="BN316" s="117">
        <f t="shared" ca="1" si="1787"/>
        <v>1</v>
      </c>
      <c r="BO316" s="117">
        <f t="shared" ca="1" si="1787"/>
        <v>1</v>
      </c>
      <c r="BP316" s="117">
        <f t="shared" ca="1" si="1787"/>
        <v>1</v>
      </c>
      <c r="BQ316" s="117">
        <f t="shared" ca="1" si="1787"/>
        <v>0.9</v>
      </c>
      <c r="BR316" s="117">
        <f t="shared" ca="1" si="1787"/>
        <v>0.9</v>
      </c>
      <c r="BS316" s="117">
        <f t="shared" ca="1" si="1787"/>
        <v>1.3</v>
      </c>
      <c r="BT316" s="117">
        <f t="shared" ca="1" si="1787"/>
        <v>1.3</v>
      </c>
      <c r="BU316" s="117">
        <f t="shared" ca="1" si="1787"/>
        <v>1.3</v>
      </c>
      <c r="BV316" s="278">
        <f t="shared" ca="1" si="1787"/>
        <v>1.3</v>
      </c>
      <c r="BW316" s="280">
        <f t="shared" si="1764"/>
        <v>8</v>
      </c>
      <c r="BX316" s="118">
        <f>IF($AN316="Ya",100%,100%+extraDelayZ)</f>
        <v>1</v>
      </c>
      <c r="BY316" s="263">
        <f t="shared" ref="BY316" si="1827">(1+AA316)</f>
        <v>1</v>
      </c>
      <c r="BZ316" s="264">
        <f t="shared" ref="BZ316" si="1828">(1+AB316)</f>
        <v>1</v>
      </c>
      <c r="CA316" s="264">
        <f t="shared" ref="CA316" si="1829">(1+AC316)</f>
        <v>1</v>
      </c>
      <c r="CB316" s="264">
        <f t="shared" ref="CB316" si="1830">(1+AD316)</f>
        <v>1</v>
      </c>
      <c r="CC316" s="264">
        <f t="shared" ref="CC316" si="1831">(1+AE316)</f>
        <v>1</v>
      </c>
      <c r="CD316" s="264">
        <f t="shared" ref="CD316" si="1832">(1+AF316)</f>
        <v>1</v>
      </c>
      <c r="CE316" s="264">
        <f t="shared" ref="CE316" si="1833">(1+AG316)</f>
        <v>1</v>
      </c>
      <c r="CF316" s="264">
        <f t="shared" ref="CF316" si="1834">(1+AH316)</f>
        <v>1</v>
      </c>
      <c r="CG316" s="264">
        <f t="shared" ref="CG316" si="1835">(1+AI316)</f>
        <v>1</v>
      </c>
      <c r="CH316" s="264">
        <f t="shared" ref="CH316" si="1836">(1+AJ316)</f>
        <v>1</v>
      </c>
      <c r="CI316" s="264">
        <f t="shared" ref="CI316" si="1837">(1+AK316)</f>
        <v>1</v>
      </c>
      <c r="CJ316" s="265">
        <f t="shared" ref="CJ316" si="1838">(1+AL316)</f>
        <v>1</v>
      </c>
      <c r="CK316" s="269">
        <f t="array" ref="CK316">IF(ISERROR(SUM($K316:$V316*$BY316:$CJ316)/SUM($K316:$V316)),1,SUM($K316:$V316*$BY316:$CJ316)/SUM($K316:$V316))-1</f>
        <v>0</v>
      </c>
      <c r="CL316" s="234"/>
    </row>
    <row r="317" spans="1:90" ht="12.75" hidden="1" outlineLevel="1" x14ac:dyDescent="0.2">
      <c r="B317" s="404" t="str">
        <f t="shared" ca="1" si="1767"/>
        <v>Пакет "Охват 1000К", 100%х90</v>
      </c>
      <c r="C317" s="649" t="str">
        <f t="shared" ca="1" si="1768"/>
        <v>Пакет</v>
      </c>
      <c r="D317" s="405">
        <f t="shared" ca="1" si="1769"/>
        <v>170</v>
      </c>
      <c r="E317" s="405">
        <f t="shared" ca="1" si="1770"/>
        <v>170</v>
      </c>
      <c r="F317" s="405">
        <f t="shared" ca="1" si="1771"/>
        <v>170</v>
      </c>
      <c r="G317" s="406">
        <f t="shared" ca="1" si="1772"/>
        <v>170000</v>
      </c>
      <c r="H317" s="406">
        <f t="shared" ca="1" si="1773"/>
        <v>170000</v>
      </c>
      <c r="I317" s="406">
        <f t="shared" ca="1" si="1774"/>
        <v>0</v>
      </c>
      <c r="J317" s="407">
        <f t="shared" ca="1" si="1775"/>
        <v>0</v>
      </c>
      <c r="K317" s="408"/>
      <c r="L317" s="409"/>
      <c r="M317" s="409"/>
      <c r="N317" s="409"/>
      <c r="O317" s="409"/>
      <c r="P317" s="409"/>
      <c r="Q317" s="409"/>
      <c r="R317" s="409"/>
      <c r="S317" s="409"/>
      <c r="T317" s="409"/>
      <c r="U317" s="409"/>
      <c r="V317" s="410"/>
      <c r="W317" s="406">
        <f t="shared" ca="1" si="1714"/>
        <v>0</v>
      </c>
      <c r="X317" s="406"/>
      <c r="Y317" s="411"/>
      <c r="Z317" s="412">
        <f t="shared" si="1776"/>
        <v>0</v>
      </c>
      <c r="AA317" s="413"/>
      <c r="AB317" s="413"/>
      <c r="AC317" s="413"/>
      <c r="AD317" s="413"/>
      <c r="AE317" s="413"/>
      <c r="AF317" s="413"/>
      <c r="AG317" s="413"/>
      <c r="AH317" s="413"/>
      <c r="AI317" s="413"/>
      <c r="AJ317" s="413"/>
      <c r="AK317" s="413"/>
      <c r="AL317" s="413"/>
      <c r="AM317" s="572"/>
      <c r="AN317" s="351" t="s">
        <v>73</v>
      </c>
      <c r="AO317" s="351" t="str">
        <f t="shared" si="1762"/>
        <v>F1News.ru</v>
      </c>
      <c r="AP317" s="115">
        <f t="shared" si="1544"/>
        <v>18</v>
      </c>
      <c r="AQ317" s="31">
        <f t="shared" ca="1" si="1777"/>
        <v>0.25</v>
      </c>
      <c r="AR317" s="31" t="str">
        <f t="shared" ca="1" si="1777"/>
        <v>-</v>
      </c>
      <c r="AS317" s="35">
        <v>0</v>
      </c>
      <c r="AT317" s="229">
        <v>0</v>
      </c>
      <c r="AU317" s="344">
        <f t="shared" ca="1" si="1778"/>
        <v>170</v>
      </c>
      <c r="AV317" s="345">
        <f t="shared" ca="1" si="1779"/>
        <v>170</v>
      </c>
      <c r="AW317" s="346">
        <f t="shared" ca="1" si="1780"/>
        <v>170</v>
      </c>
      <c r="AX317" s="280"/>
      <c r="AY317" s="280"/>
      <c r="AZ317" s="347">
        <f t="shared" ca="1" si="1781"/>
        <v>170000</v>
      </c>
      <c r="BA317" s="348">
        <f t="shared" ca="1" si="1782"/>
        <v>170000</v>
      </c>
      <c r="BB317" s="347">
        <f t="shared" ca="1" si="1783"/>
        <v>1000</v>
      </c>
      <c r="BC317" s="37" t="str">
        <f t="shared" ca="1" si="1783"/>
        <v>Пакет</v>
      </c>
      <c r="BD317" s="229" t="str">
        <f t="shared" ca="1" si="1784"/>
        <v>Пакет</v>
      </c>
      <c r="BE317" s="283">
        <f t="shared" ca="1" si="1763"/>
        <v>0</v>
      </c>
      <c r="BF317" s="347">
        <f t="array" aca="1" ref="BF317" ca="1">SUM($K317:$V317*$BK317:$BV317)*$AZ317</f>
        <v>0</v>
      </c>
      <c r="BG317" s="347">
        <f t="array" aca="1" ref="BG317" ca="1">SUM($K317:$V317*$BY317:$CJ317*$BK317:$BV317)*$AZ317*$BX317</f>
        <v>0</v>
      </c>
      <c r="BH317" s="347">
        <f t="array" aca="1" ref="BH317" ca="1">SUM($K317:$V317*$BY317:$CJ317*$BK317:$BV317)*(1-$BE317)*$AZ317*$BX317</f>
        <v>0</v>
      </c>
      <c r="BI317" s="350">
        <f t="shared" ca="1" si="1785"/>
        <v>0</v>
      </c>
      <c r="BJ317" s="275" t="str">
        <f t="shared" ca="1" si="1786"/>
        <v>Да</v>
      </c>
      <c r="BK317" s="116">
        <f t="shared" ca="1" si="1787"/>
        <v>0.8</v>
      </c>
      <c r="BL317" s="117">
        <f t="shared" ca="1" si="1787"/>
        <v>0.9</v>
      </c>
      <c r="BM317" s="117">
        <f t="shared" ca="1" si="1787"/>
        <v>1</v>
      </c>
      <c r="BN317" s="117">
        <f t="shared" ca="1" si="1787"/>
        <v>1</v>
      </c>
      <c r="BO317" s="117">
        <f t="shared" ca="1" si="1787"/>
        <v>1</v>
      </c>
      <c r="BP317" s="117">
        <f t="shared" ca="1" si="1787"/>
        <v>1</v>
      </c>
      <c r="BQ317" s="117">
        <f t="shared" ca="1" si="1787"/>
        <v>0.9</v>
      </c>
      <c r="BR317" s="117">
        <f t="shared" ca="1" si="1787"/>
        <v>0.9</v>
      </c>
      <c r="BS317" s="117">
        <f t="shared" ca="1" si="1787"/>
        <v>1.3</v>
      </c>
      <c r="BT317" s="117">
        <f t="shared" ca="1" si="1787"/>
        <v>1.3</v>
      </c>
      <c r="BU317" s="117">
        <f t="shared" ca="1" si="1787"/>
        <v>1.3</v>
      </c>
      <c r="BV317" s="278">
        <f t="shared" ca="1" si="1787"/>
        <v>1.3</v>
      </c>
      <c r="BW317" s="280">
        <f t="shared" si="1764"/>
        <v>9</v>
      </c>
      <c r="BX317" s="118">
        <f>IF($AN317="Ya",100%,100%+extraDelayZ)</f>
        <v>1</v>
      </c>
      <c r="BY317" s="263">
        <f t="shared" si="1788"/>
        <v>1</v>
      </c>
      <c r="BZ317" s="264">
        <f t="shared" si="1789"/>
        <v>1</v>
      </c>
      <c r="CA317" s="264">
        <f t="shared" si="1790"/>
        <v>1</v>
      </c>
      <c r="CB317" s="264">
        <f t="shared" si="1791"/>
        <v>1</v>
      </c>
      <c r="CC317" s="264">
        <f t="shared" si="1792"/>
        <v>1</v>
      </c>
      <c r="CD317" s="264">
        <f t="shared" si="1793"/>
        <v>1</v>
      </c>
      <c r="CE317" s="264">
        <f t="shared" si="1794"/>
        <v>1</v>
      </c>
      <c r="CF317" s="264">
        <f t="shared" si="1795"/>
        <v>1</v>
      </c>
      <c r="CG317" s="264">
        <f t="shared" si="1796"/>
        <v>1</v>
      </c>
      <c r="CH317" s="264">
        <f t="shared" si="1797"/>
        <v>1</v>
      </c>
      <c r="CI317" s="264">
        <f t="shared" si="1798"/>
        <v>1</v>
      </c>
      <c r="CJ317" s="265">
        <f t="shared" si="1799"/>
        <v>1</v>
      </c>
      <c r="CK317" s="269">
        <f t="array" ref="CK317">IF(ISERROR(SUM($K317:$V317*$BY317:$CJ317)/SUM($K317:$V317)),1,SUM($K317:$V317*$BY317:$CJ317)/SUM($K317:$V317))-1</f>
        <v>0</v>
      </c>
      <c r="CL317" s="234"/>
    </row>
    <row r="318" spans="1:90" ht="12.75" hidden="1" outlineLevel="1" x14ac:dyDescent="0.2">
      <c r="B318" s="404" t="str">
        <f t="shared" ca="1" si="1767"/>
        <v>Пакет "Охват 1000К", 100%х250</v>
      </c>
      <c r="C318" s="649" t="str">
        <f t="shared" ca="1" si="1768"/>
        <v>Пакет</v>
      </c>
      <c r="D318" s="405">
        <f t="shared" ca="1" si="1769"/>
        <v>250</v>
      </c>
      <c r="E318" s="405">
        <f t="shared" ca="1" si="1770"/>
        <v>250</v>
      </c>
      <c r="F318" s="405">
        <f t="shared" ca="1" si="1771"/>
        <v>250</v>
      </c>
      <c r="G318" s="406">
        <f t="shared" ca="1" si="1772"/>
        <v>250000</v>
      </c>
      <c r="H318" s="406">
        <f t="shared" ca="1" si="1773"/>
        <v>250000</v>
      </c>
      <c r="I318" s="406">
        <f t="shared" ca="1" si="1774"/>
        <v>0</v>
      </c>
      <c r="J318" s="407">
        <f t="shared" ca="1" si="1775"/>
        <v>0</v>
      </c>
      <c r="K318" s="408"/>
      <c r="L318" s="409"/>
      <c r="M318" s="409"/>
      <c r="N318" s="409"/>
      <c r="O318" s="409"/>
      <c r="P318" s="409"/>
      <c r="Q318" s="409"/>
      <c r="R318" s="409"/>
      <c r="S318" s="409"/>
      <c r="T318" s="409"/>
      <c r="U318" s="409"/>
      <c r="V318" s="410"/>
      <c r="W318" s="406">
        <f t="shared" ca="1" si="1714"/>
        <v>0</v>
      </c>
      <c r="X318" s="406"/>
      <c r="Y318" s="411"/>
      <c r="Z318" s="412">
        <f t="shared" ref="Z318" si="1839">CK318</f>
        <v>0</v>
      </c>
      <c r="AA318" s="413"/>
      <c r="AB318" s="413"/>
      <c r="AC318" s="413"/>
      <c r="AD318" s="413"/>
      <c r="AE318" s="413"/>
      <c r="AF318" s="413"/>
      <c r="AG318" s="413"/>
      <c r="AH318" s="413"/>
      <c r="AI318" s="413"/>
      <c r="AJ318" s="413"/>
      <c r="AK318" s="413"/>
      <c r="AL318" s="413"/>
      <c r="AM318" s="572"/>
      <c r="AN318" s="351" t="s">
        <v>73</v>
      </c>
      <c r="AO318" s="351" t="str">
        <f t="shared" si="1762"/>
        <v>F1News.ru</v>
      </c>
      <c r="AP318" s="115">
        <f t="shared" si="1544"/>
        <v>18</v>
      </c>
      <c r="AQ318" s="31">
        <f t="shared" ca="1" si="1777"/>
        <v>0.25</v>
      </c>
      <c r="AR318" s="31" t="str">
        <f t="shared" ca="1" si="1777"/>
        <v>-</v>
      </c>
      <c r="AS318" s="35">
        <v>0</v>
      </c>
      <c r="AT318" s="229">
        <v>0</v>
      </c>
      <c r="AU318" s="344">
        <f t="shared" ca="1" si="1778"/>
        <v>250</v>
      </c>
      <c r="AV318" s="345">
        <f t="shared" ca="1" si="1779"/>
        <v>250</v>
      </c>
      <c r="AW318" s="346">
        <f t="shared" ca="1" si="1780"/>
        <v>250</v>
      </c>
      <c r="AX318" s="280"/>
      <c r="AY318" s="280"/>
      <c r="AZ318" s="347">
        <f t="shared" ca="1" si="1781"/>
        <v>250000</v>
      </c>
      <c r="BA318" s="348">
        <f t="shared" ca="1" si="1782"/>
        <v>250000</v>
      </c>
      <c r="BB318" s="347">
        <f t="shared" ca="1" si="1783"/>
        <v>1000</v>
      </c>
      <c r="BC318" s="37" t="str">
        <f t="shared" ca="1" si="1783"/>
        <v>Пакет</v>
      </c>
      <c r="BD318" s="229" t="str">
        <f t="shared" ca="1" si="1784"/>
        <v>Пакет</v>
      </c>
      <c r="BE318" s="283">
        <f t="shared" ca="1" si="1763"/>
        <v>0</v>
      </c>
      <c r="BF318" s="347">
        <f t="array" aca="1" ref="BF318" ca="1">SUM($K318:$V318*$BK318:$BV318)*$AZ318</f>
        <v>0</v>
      </c>
      <c r="BG318" s="347">
        <f t="array" aca="1" ref="BG318" ca="1">SUM($K318:$V318*$BY318:$CJ318*$BK318:$BV318)*$AZ318*$BX318</f>
        <v>0</v>
      </c>
      <c r="BH318" s="347">
        <f t="array" aca="1" ref="BH318" ca="1">SUM($K318:$V318*$BY318:$CJ318*$BK318:$BV318)*(1-$BE318)*$AZ318*$BX318</f>
        <v>0</v>
      </c>
      <c r="BI318" s="350">
        <f t="shared" ca="1" si="1785"/>
        <v>0</v>
      </c>
      <c r="BJ318" s="275" t="str">
        <f t="shared" ca="1" si="1786"/>
        <v>Да</v>
      </c>
      <c r="BK318" s="116">
        <f t="shared" ca="1" si="1787"/>
        <v>0.8</v>
      </c>
      <c r="BL318" s="117">
        <f t="shared" ca="1" si="1787"/>
        <v>0.9</v>
      </c>
      <c r="BM318" s="117">
        <f t="shared" ca="1" si="1787"/>
        <v>1</v>
      </c>
      <c r="BN318" s="117">
        <f t="shared" ca="1" si="1787"/>
        <v>1</v>
      </c>
      <c r="BO318" s="117">
        <f t="shared" ca="1" si="1787"/>
        <v>1</v>
      </c>
      <c r="BP318" s="117">
        <f t="shared" ca="1" si="1787"/>
        <v>1</v>
      </c>
      <c r="BQ318" s="117">
        <f t="shared" ca="1" si="1787"/>
        <v>0.9</v>
      </c>
      <c r="BR318" s="117">
        <f t="shared" ca="1" si="1787"/>
        <v>0.9</v>
      </c>
      <c r="BS318" s="117">
        <f t="shared" ca="1" si="1787"/>
        <v>1.3</v>
      </c>
      <c r="BT318" s="117">
        <f t="shared" ca="1" si="1787"/>
        <v>1.3</v>
      </c>
      <c r="BU318" s="117">
        <f t="shared" ca="1" si="1787"/>
        <v>1.3</v>
      </c>
      <c r="BV318" s="278">
        <f t="shared" ca="1" si="1787"/>
        <v>1.3</v>
      </c>
      <c r="BW318" s="280">
        <f t="shared" si="1764"/>
        <v>10</v>
      </c>
      <c r="BX318" s="118">
        <f>IF($AN318="Ya",100%,100%+extraDelayZ)</f>
        <v>1</v>
      </c>
      <c r="BY318" s="263">
        <f t="shared" ref="BY318" si="1840">(1+AA318)</f>
        <v>1</v>
      </c>
      <c r="BZ318" s="264">
        <f t="shared" ref="BZ318" si="1841">(1+AB318)</f>
        <v>1</v>
      </c>
      <c r="CA318" s="264">
        <f t="shared" ref="CA318" si="1842">(1+AC318)</f>
        <v>1</v>
      </c>
      <c r="CB318" s="264">
        <f t="shared" ref="CB318" si="1843">(1+AD318)</f>
        <v>1</v>
      </c>
      <c r="CC318" s="264">
        <f t="shared" ref="CC318" si="1844">(1+AE318)</f>
        <v>1</v>
      </c>
      <c r="CD318" s="264">
        <f t="shared" ref="CD318" si="1845">(1+AF318)</f>
        <v>1</v>
      </c>
      <c r="CE318" s="264">
        <f t="shared" ref="CE318" si="1846">(1+AG318)</f>
        <v>1</v>
      </c>
      <c r="CF318" s="264">
        <f t="shared" ref="CF318" si="1847">(1+AH318)</f>
        <v>1</v>
      </c>
      <c r="CG318" s="264">
        <f t="shared" ref="CG318" si="1848">(1+AI318)</f>
        <v>1</v>
      </c>
      <c r="CH318" s="264">
        <f t="shared" ref="CH318" si="1849">(1+AJ318)</f>
        <v>1</v>
      </c>
      <c r="CI318" s="264">
        <f t="shared" ref="CI318" si="1850">(1+AK318)</f>
        <v>1</v>
      </c>
      <c r="CJ318" s="265">
        <f t="shared" ref="CJ318" si="1851">(1+AL318)</f>
        <v>1</v>
      </c>
      <c r="CK318" s="269">
        <f t="array" ref="CK318">IF(ISERROR(SUM($K318:$V318*$BY318:$CJ318)/SUM($K318:$V318)),1,SUM($K318:$V318*$BY318:$CJ318)/SUM($K318:$V318))-1</f>
        <v>0</v>
      </c>
      <c r="CL318" s="234"/>
    </row>
    <row r="319" spans="1:90" ht="12.75" hidden="1" outlineLevel="1" x14ac:dyDescent="0.2">
      <c r="B319" s="404" t="str">
        <f t="shared" ca="1" si="1767"/>
        <v>Все страницы, 100%х250</v>
      </c>
      <c r="C319" s="649" t="str">
        <f t="shared" ca="1" si="1768"/>
        <v>х1000</v>
      </c>
      <c r="D319" s="405">
        <f t="shared" ca="1" si="1769"/>
        <v>400</v>
      </c>
      <c r="E319" s="405">
        <f t="shared" ca="1" si="1770"/>
        <v>400</v>
      </c>
      <c r="F319" s="405">
        <f t="shared" ca="1" si="1771"/>
        <v>400</v>
      </c>
      <c r="G319" s="406">
        <f t="shared" ca="1" si="1772"/>
        <v>400</v>
      </c>
      <c r="H319" s="406">
        <f t="shared" ca="1" si="1773"/>
        <v>400</v>
      </c>
      <c r="I319" s="406">
        <f t="shared" ca="1" si="1774"/>
        <v>0</v>
      </c>
      <c r="J319" s="407">
        <f t="shared" ca="1" si="1775"/>
        <v>0</v>
      </c>
      <c r="K319" s="408"/>
      <c r="L319" s="409"/>
      <c r="M319" s="409"/>
      <c r="N319" s="409"/>
      <c r="O319" s="409"/>
      <c r="P319" s="409"/>
      <c r="Q319" s="409"/>
      <c r="R319" s="409"/>
      <c r="S319" s="409"/>
      <c r="T319" s="409"/>
      <c r="U319" s="409"/>
      <c r="V319" s="410"/>
      <c r="W319" s="406">
        <f t="shared" ca="1" si="1714"/>
        <v>0</v>
      </c>
      <c r="X319" s="406"/>
      <c r="Y319" s="411"/>
      <c r="Z319" s="412">
        <f t="shared" ref="Z319" si="1852">CK319</f>
        <v>0</v>
      </c>
      <c r="AA319" s="413"/>
      <c r="AB319" s="413"/>
      <c r="AC319" s="413"/>
      <c r="AD319" s="413"/>
      <c r="AE319" s="413"/>
      <c r="AF319" s="413"/>
      <c r="AG319" s="413"/>
      <c r="AH319" s="413"/>
      <c r="AI319" s="413"/>
      <c r="AJ319" s="413"/>
      <c r="AK319" s="413"/>
      <c r="AL319" s="413"/>
      <c r="AM319" s="572"/>
      <c r="AN319" s="351" t="s">
        <v>73</v>
      </c>
      <c r="AO319" s="351" t="str">
        <f t="shared" si="1762"/>
        <v>F1News.ru</v>
      </c>
      <c r="AP319" s="115">
        <f t="shared" si="1544"/>
        <v>18</v>
      </c>
      <c r="AQ319" s="31">
        <f t="shared" ca="1" si="1777"/>
        <v>0.25</v>
      </c>
      <c r="AR319" s="31">
        <f t="shared" ca="1" si="1777"/>
        <v>0.15</v>
      </c>
      <c r="AS319" s="34">
        <v>0</v>
      </c>
      <c r="AT319" s="229">
        <v>0</v>
      </c>
      <c r="AU319" s="344">
        <f t="shared" ca="1" si="1778"/>
        <v>400</v>
      </c>
      <c r="AV319" s="345">
        <f t="shared" ca="1" si="1779"/>
        <v>400</v>
      </c>
      <c r="AW319" s="346">
        <f t="shared" ca="1" si="1780"/>
        <v>400</v>
      </c>
      <c r="AX319" s="280"/>
      <c r="AY319" s="280"/>
      <c r="AZ319" s="347">
        <f t="shared" ca="1" si="1781"/>
        <v>400</v>
      </c>
      <c r="BA319" s="348">
        <f t="shared" ca="1" si="1782"/>
        <v>400</v>
      </c>
      <c r="BB319" s="347">
        <f t="shared" ca="1" si="1783"/>
        <v>1</v>
      </c>
      <c r="BC319" s="37" t="str">
        <f t="shared" ca="1" si="1783"/>
        <v>1000 контактов</v>
      </c>
      <c r="BD319" s="229" t="str">
        <f t="shared" ca="1" si="1784"/>
        <v>х1000</v>
      </c>
      <c r="BE319" s="283">
        <f t="shared" ca="1" si="1763"/>
        <v>0</v>
      </c>
      <c r="BF319" s="347">
        <f t="array" aca="1" ref="BF319" ca="1">SUM($K319:$V319*$BK319:$BV319)*$AZ319</f>
        <v>0</v>
      </c>
      <c r="BG319" s="347">
        <f t="array" aca="1" ref="BG319" ca="1">SUM($K319:$V319*$BY319:$CJ319*$BK319:$BV319)*$AZ319*$BX319</f>
        <v>0</v>
      </c>
      <c r="BH319" s="347">
        <f t="array" aca="1" ref="BH319" ca="1">SUM($K319:$V319*$BY319:$CJ319*$BK319:$BV319)*(1-$BE319)*$AZ319*$BX319</f>
        <v>0</v>
      </c>
      <c r="BI319" s="350">
        <f t="shared" ca="1" si="1785"/>
        <v>0</v>
      </c>
      <c r="BJ319" s="275" t="str">
        <f t="shared" ca="1" si="1786"/>
        <v>Да</v>
      </c>
      <c r="BK319" s="116">
        <f t="shared" ca="1" si="1787"/>
        <v>0.8</v>
      </c>
      <c r="BL319" s="117">
        <f t="shared" ca="1" si="1787"/>
        <v>0.9</v>
      </c>
      <c r="BM319" s="117">
        <f t="shared" ca="1" si="1787"/>
        <v>1</v>
      </c>
      <c r="BN319" s="117">
        <f t="shared" ca="1" si="1787"/>
        <v>1</v>
      </c>
      <c r="BO319" s="117">
        <f t="shared" ca="1" si="1787"/>
        <v>1</v>
      </c>
      <c r="BP319" s="117">
        <f t="shared" ca="1" si="1787"/>
        <v>1</v>
      </c>
      <c r="BQ319" s="117">
        <f t="shared" ca="1" si="1787"/>
        <v>0.9</v>
      </c>
      <c r="BR319" s="117">
        <f t="shared" ca="1" si="1787"/>
        <v>0.9</v>
      </c>
      <c r="BS319" s="117">
        <f t="shared" ca="1" si="1787"/>
        <v>1.3</v>
      </c>
      <c r="BT319" s="117">
        <f t="shared" ca="1" si="1787"/>
        <v>1.3</v>
      </c>
      <c r="BU319" s="117">
        <f t="shared" ca="1" si="1787"/>
        <v>1.3</v>
      </c>
      <c r="BV319" s="278">
        <f t="shared" ca="1" si="1787"/>
        <v>1.3</v>
      </c>
      <c r="BW319" s="280">
        <f t="shared" si="1764"/>
        <v>11</v>
      </c>
      <c r="BX319" s="118">
        <f>IF($AN319="Ya",100%,100%+extraDelayZ)</f>
        <v>1</v>
      </c>
      <c r="BY319" s="263">
        <f t="shared" ref="BY319" si="1853">(1+AA319)</f>
        <v>1</v>
      </c>
      <c r="BZ319" s="264">
        <f t="shared" ref="BZ319" si="1854">(1+AB319)</f>
        <v>1</v>
      </c>
      <c r="CA319" s="264">
        <f t="shared" ref="CA319" si="1855">(1+AC319)</f>
        <v>1</v>
      </c>
      <c r="CB319" s="264">
        <f t="shared" ref="CB319" si="1856">(1+AD319)</f>
        <v>1</v>
      </c>
      <c r="CC319" s="264">
        <f t="shared" ref="CC319" si="1857">(1+AE319)</f>
        <v>1</v>
      </c>
      <c r="CD319" s="264">
        <f t="shared" ref="CD319" si="1858">(1+AF319)</f>
        <v>1</v>
      </c>
      <c r="CE319" s="264">
        <f t="shared" ref="CE319" si="1859">(1+AG319)</f>
        <v>1</v>
      </c>
      <c r="CF319" s="264">
        <f t="shared" ref="CF319" si="1860">(1+AH319)</f>
        <v>1</v>
      </c>
      <c r="CG319" s="264">
        <f t="shared" ref="CG319" si="1861">(1+AI319)</f>
        <v>1</v>
      </c>
      <c r="CH319" s="264">
        <f t="shared" ref="CH319" si="1862">(1+AJ319)</f>
        <v>1</v>
      </c>
      <c r="CI319" s="264">
        <f t="shared" ref="CI319" si="1863">(1+AK319)</f>
        <v>1</v>
      </c>
      <c r="CJ319" s="265">
        <f t="shared" ref="CJ319" si="1864">(1+AL319)</f>
        <v>1</v>
      </c>
      <c r="CK319" s="269">
        <f t="array" ref="CK319">IF(ISERROR(SUM($K319:$V319*$BY319:$CJ319)/SUM($K319:$V319)),1,SUM($K319:$V319*$BY319:$CJ319)/SUM($K319:$V319))-1</f>
        <v>0</v>
      </c>
      <c r="CL319" s="234"/>
    </row>
    <row r="320" spans="1:90" ht="12.75" hidden="1" outlineLevel="1" x14ac:dyDescent="0.2">
      <c r="B320" s="404" t="str">
        <f t="shared" ca="1" si="1767"/>
        <v>Все страницы, BackScreen, F=1</v>
      </c>
      <c r="C320" s="649" t="str">
        <f t="shared" ca="1" si="1768"/>
        <v>х1000</v>
      </c>
      <c r="D320" s="405">
        <f t="shared" ca="1" si="1769"/>
        <v>750</v>
      </c>
      <c r="E320" s="405">
        <f t="shared" ca="1" si="1770"/>
        <v>750</v>
      </c>
      <c r="F320" s="405">
        <f t="shared" ca="1" si="1771"/>
        <v>750</v>
      </c>
      <c r="G320" s="406">
        <f t="shared" ca="1" si="1772"/>
        <v>750</v>
      </c>
      <c r="H320" s="406">
        <f t="shared" ca="1" si="1773"/>
        <v>750</v>
      </c>
      <c r="I320" s="406">
        <f t="shared" ca="1" si="1774"/>
        <v>0</v>
      </c>
      <c r="J320" s="407">
        <f t="shared" ca="1" si="1775"/>
        <v>0</v>
      </c>
      <c r="K320" s="408"/>
      <c r="L320" s="409"/>
      <c r="M320" s="409"/>
      <c r="N320" s="409"/>
      <c r="O320" s="409"/>
      <c r="P320" s="409"/>
      <c r="Q320" s="409"/>
      <c r="R320" s="409"/>
      <c r="S320" s="409"/>
      <c r="T320" s="409"/>
      <c r="U320" s="409"/>
      <c r="V320" s="410"/>
      <c r="W320" s="406">
        <f t="shared" ca="1" si="1714"/>
        <v>0</v>
      </c>
      <c r="X320" s="406"/>
      <c r="Y320" s="411"/>
      <c r="Z320" s="412">
        <f t="shared" ref="Z320" si="1865">CK320</f>
        <v>0</v>
      </c>
      <c r="AA320" s="413"/>
      <c r="AB320" s="413"/>
      <c r="AC320" s="413"/>
      <c r="AD320" s="413"/>
      <c r="AE320" s="413"/>
      <c r="AF320" s="413"/>
      <c r="AG320" s="413"/>
      <c r="AH320" s="413"/>
      <c r="AI320" s="413"/>
      <c r="AJ320" s="413"/>
      <c r="AK320" s="413"/>
      <c r="AL320" s="413"/>
      <c r="AM320" s="572"/>
      <c r="AN320" s="351" t="s">
        <v>73</v>
      </c>
      <c r="AO320" s="351" t="str">
        <f t="shared" si="1762"/>
        <v>F1News.ru</v>
      </c>
      <c r="AP320" s="115">
        <f t="shared" si="1544"/>
        <v>18</v>
      </c>
      <c r="AQ320" s="31">
        <f t="shared" ca="1" si="1777"/>
        <v>0.25</v>
      </c>
      <c r="AR320" s="31" t="str">
        <f t="shared" ca="1" si="1777"/>
        <v>Вкл</v>
      </c>
      <c r="AS320" s="34">
        <v>0</v>
      </c>
      <c r="AT320" s="229">
        <v>0</v>
      </c>
      <c r="AU320" s="344">
        <f t="shared" ca="1" si="1778"/>
        <v>750</v>
      </c>
      <c r="AV320" s="345">
        <f t="shared" ca="1" si="1779"/>
        <v>750</v>
      </c>
      <c r="AW320" s="346">
        <f t="shared" ca="1" si="1780"/>
        <v>750</v>
      </c>
      <c r="AX320" s="280"/>
      <c r="AY320" s="280"/>
      <c r="AZ320" s="347">
        <f t="shared" ca="1" si="1781"/>
        <v>750</v>
      </c>
      <c r="BA320" s="348">
        <f t="shared" ca="1" si="1782"/>
        <v>750</v>
      </c>
      <c r="BB320" s="347">
        <f t="shared" ca="1" si="1783"/>
        <v>1</v>
      </c>
      <c r="BC320" s="37" t="str">
        <f t="shared" ca="1" si="1783"/>
        <v>1000 контактов</v>
      </c>
      <c r="BD320" s="229" t="str">
        <f t="shared" ca="1" si="1784"/>
        <v>х1000</v>
      </c>
      <c r="BE320" s="283">
        <f t="shared" ca="1" si="1763"/>
        <v>0</v>
      </c>
      <c r="BF320" s="347">
        <f t="array" aca="1" ref="BF320" ca="1">SUM($K320:$V320*$BK320:$BV320)*$AZ320</f>
        <v>0</v>
      </c>
      <c r="BG320" s="347">
        <f t="array" aca="1" ref="BG320" ca="1">SUM($K320:$V320*$BY320:$CJ320*$BK320:$BV320)*$AZ320*$BX320</f>
        <v>0</v>
      </c>
      <c r="BH320" s="347">
        <f t="array" aca="1" ref="BH320" ca="1">SUM($K320:$V320*$BY320:$CJ320*$BK320:$BV320)*(1-$BE320)*$AZ320*$BX320</f>
        <v>0</v>
      </c>
      <c r="BI320" s="350">
        <f t="shared" ca="1" si="1785"/>
        <v>0</v>
      </c>
      <c r="BJ320" s="275" t="str">
        <f t="shared" ca="1" si="1786"/>
        <v>Да</v>
      </c>
      <c r="BK320" s="116">
        <f t="shared" ca="1" si="1787"/>
        <v>0.8</v>
      </c>
      <c r="BL320" s="117">
        <f t="shared" ca="1" si="1787"/>
        <v>0.9</v>
      </c>
      <c r="BM320" s="117">
        <f t="shared" ca="1" si="1787"/>
        <v>1</v>
      </c>
      <c r="BN320" s="117">
        <f t="shared" ca="1" si="1787"/>
        <v>1</v>
      </c>
      <c r="BO320" s="117">
        <f t="shared" ca="1" si="1787"/>
        <v>1</v>
      </c>
      <c r="BP320" s="117">
        <f t="shared" ca="1" si="1787"/>
        <v>1</v>
      </c>
      <c r="BQ320" s="117">
        <f t="shared" ca="1" si="1787"/>
        <v>0.9</v>
      </c>
      <c r="BR320" s="117">
        <f t="shared" ca="1" si="1787"/>
        <v>0.9</v>
      </c>
      <c r="BS320" s="117">
        <f t="shared" ca="1" si="1787"/>
        <v>1.3</v>
      </c>
      <c r="BT320" s="117">
        <f t="shared" ca="1" si="1787"/>
        <v>1.3</v>
      </c>
      <c r="BU320" s="117">
        <f t="shared" ca="1" si="1787"/>
        <v>1.3</v>
      </c>
      <c r="BV320" s="278">
        <f t="shared" ca="1" si="1787"/>
        <v>1.3</v>
      </c>
      <c r="BW320" s="280">
        <f t="shared" si="1764"/>
        <v>12</v>
      </c>
      <c r="BX320" s="118">
        <f>IF($AN320="Ya",100%,100%+extraDelayZ)</f>
        <v>1</v>
      </c>
      <c r="BY320" s="263">
        <f t="shared" ref="BY320" si="1866">(1+AA320)</f>
        <v>1</v>
      </c>
      <c r="BZ320" s="264">
        <f t="shared" ref="BZ320" si="1867">(1+AB320)</f>
        <v>1</v>
      </c>
      <c r="CA320" s="264">
        <f t="shared" ref="CA320" si="1868">(1+AC320)</f>
        <v>1</v>
      </c>
      <c r="CB320" s="264">
        <f t="shared" ref="CB320" si="1869">(1+AD320)</f>
        <v>1</v>
      </c>
      <c r="CC320" s="264">
        <f t="shared" ref="CC320" si="1870">(1+AE320)</f>
        <v>1</v>
      </c>
      <c r="CD320" s="264">
        <f t="shared" ref="CD320" si="1871">(1+AF320)</f>
        <v>1</v>
      </c>
      <c r="CE320" s="264">
        <f t="shared" ref="CE320" si="1872">(1+AG320)</f>
        <v>1</v>
      </c>
      <c r="CF320" s="264">
        <f t="shared" ref="CF320" si="1873">(1+AH320)</f>
        <v>1</v>
      </c>
      <c r="CG320" s="264">
        <f t="shared" ref="CG320" si="1874">(1+AI320)</f>
        <v>1</v>
      </c>
      <c r="CH320" s="264">
        <f t="shared" ref="CH320" si="1875">(1+AJ320)</f>
        <v>1</v>
      </c>
      <c r="CI320" s="264">
        <f t="shared" ref="CI320" si="1876">(1+AK320)</f>
        <v>1</v>
      </c>
      <c r="CJ320" s="265">
        <f t="shared" ref="CJ320" si="1877">(1+AL320)</f>
        <v>1</v>
      </c>
      <c r="CK320" s="269">
        <f t="array" ref="CK320">IF(ISERROR(SUM($K320:$V320*$BY320:$CJ320)/SUM($K320:$V320)),1,SUM($K320:$V320*$BY320:$CJ320)/SUM($K320:$V320))-1</f>
        <v>0</v>
      </c>
      <c r="CL320" s="234"/>
    </row>
    <row r="321" spans="1:90" ht="12.75" hidden="1" outlineLevel="1" x14ac:dyDescent="0.2">
      <c r="B321" s="404" t="str">
        <f t="shared" ca="1" si="1767"/>
        <v>Все страницы, Frontline, F=1</v>
      </c>
      <c r="C321" s="649" t="str">
        <f t="shared" ca="1" si="1768"/>
        <v>х1000</v>
      </c>
      <c r="D321" s="405">
        <f t="shared" ca="1" si="1769"/>
        <v>750</v>
      </c>
      <c r="E321" s="405">
        <f t="shared" ca="1" si="1770"/>
        <v>750</v>
      </c>
      <c r="F321" s="405">
        <f t="shared" ca="1" si="1771"/>
        <v>750</v>
      </c>
      <c r="G321" s="406">
        <f t="shared" ca="1" si="1772"/>
        <v>750</v>
      </c>
      <c r="H321" s="406">
        <f t="shared" ca="1" si="1773"/>
        <v>750</v>
      </c>
      <c r="I321" s="406">
        <f t="shared" ca="1" si="1774"/>
        <v>0</v>
      </c>
      <c r="J321" s="407">
        <f t="shared" ca="1" si="1775"/>
        <v>0</v>
      </c>
      <c r="K321" s="408"/>
      <c r="L321" s="409"/>
      <c r="M321" s="409"/>
      <c r="N321" s="409"/>
      <c r="O321" s="409"/>
      <c r="P321" s="409"/>
      <c r="Q321" s="409"/>
      <c r="R321" s="409"/>
      <c r="S321" s="409"/>
      <c r="T321" s="409"/>
      <c r="U321" s="409"/>
      <c r="V321" s="410"/>
      <c r="W321" s="406">
        <f t="shared" ca="1" si="1714"/>
        <v>0</v>
      </c>
      <c r="X321" s="406"/>
      <c r="Y321" s="411"/>
      <c r="Z321" s="412">
        <f t="shared" ref="Z321" si="1878">CK321</f>
        <v>0</v>
      </c>
      <c r="AA321" s="413"/>
      <c r="AB321" s="413"/>
      <c r="AC321" s="413"/>
      <c r="AD321" s="413"/>
      <c r="AE321" s="413"/>
      <c r="AF321" s="413"/>
      <c r="AG321" s="413"/>
      <c r="AH321" s="413"/>
      <c r="AI321" s="413"/>
      <c r="AJ321" s="413"/>
      <c r="AK321" s="413"/>
      <c r="AL321" s="413"/>
      <c r="AM321" s="572"/>
      <c r="AN321" s="351" t="s">
        <v>73</v>
      </c>
      <c r="AO321" s="351" t="str">
        <f t="shared" si="1762"/>
        <v>F1News.ru</v>
      </c>
      <c r="AP321" s="115">
        <f t="shared" si="1544"/>
        <v>18</v>
      </c>
      <c r="AQ321" s="31">
        <f t="shared" ca="1" si="1777"/>
        <v>0.25</v>
      </c>
      <c r="AR321" s="31" t="str">
        <f t="shared" ca="1" si="1777"/>
        <v>Вкл</v>
      </c>
      <c r="AS321" s="34">
        <v>0</v>
      </c>
      <c r="AT321" s="229">
        <v>0</v>
      </c>
      <c r="AU321" s="344">
        <f t="shared" ca="1" si="1778"/>
        <v>750</v>
      </c>
      <c r="AV321" s="345">
        <f t="shared" ca="1" si="1779"/>
        <v>750</v>
      </c>
      <c r="AW321" s="346">
        <f t="shared" ca="1" si="1780"/>
        <v>750</v>
      </c>
      <c r="AX321" s="280"/>
      <c r="AY321" s="280"/>
      <c r="AZ321" s="347">
        <f t="shared" ca="1" si="1781"/>
        <v>750</v>
      </c>
      <c r="BA321" s="348">
        <f t="shared" ca="1" si="1782"/>
        <v>750</v>
      </c>
      <c r="BB321" s="347">
        <f t="shared" ca="1" si="1783"/>
        <v>1</v>
      </c>
      <c r="BC321" s="37" t="str">
        <f t="shared" ca="1" si="1783"/>
        <v>1000 контактов</v>
      </c>
      <c r="BD321" s="229" t="str">
        <f t="shared" ca="1" si="1784"/>
        <v>х1000</v>
      </c>
      <c r="BE321" s="283">
        <f t="shared" ca="1" si="1763"/>
        <v>0</v>
      </c>
      <c r="BF321" s="347">
        <f t="array" aca="1" ref="BF321" ca="1">SUM($K321:$V321*$BK321:$BV321)*$AZ321</f>
        <v>0</v>
      </c>
      <c r="BG321" s="347">
        <f t="array" aca="1" ref="BG321" ca="1">SUM($K321:$V321*$BY321:$CJ321*$BK321:$BV321)*$AZ321*$BX321</f>
        <v>0</v>
      </c>
      <c r="BH321" s="347">
        <f t="array" aca="1" ref="BH321" ca="1">SUM($K321:$V321*$BY321:$CJ321*$BK321:$BV321)*(1-$BE321)*$AZ321*$BX321</f>
        <v>0</v>
      </c>
      <c r="BI321" s="350">
        <f t="shared" ca="1" si="1785"/>
        <v>0</v>
      </c>
      <c r="BJ321" s="275" t="str">
        <f t="shared" ca="1" si="1786"/>
        <v>Да</v>
      </c>
      <c r="BK321" s="116">
        <f t="shared" ca="1" si="1787"/>
        <v>0.8</v>
      </c>
      <c r="BL321" s="117">
        <f t="shared" ca="1" si="1787"/>
        <v>0.9</v>
      </c>
      <c r="BM321" s="117">
        <f t="shared" ca="1" si="1787"/>
        <v>1</v>
      </c>
      <c r="BN321" s="117">
        <f t="shared" ca="1" si="1787"/>
        <v>1</v>
      </c>
      <c r="BO321" s="117">
        <f t="shared" ca="1" si="1787"/>
        <v>1</v>
      </c>
      <c r="BP321" s="117">
        <f t="shared" ca="1" si="1787"/>
        <v>1</v>
      </c>
      <c r="BQ321" s="117">
        <f t="shared" ca="1" si="1787"/>
        <v>0.9</v>
      </c>
      <c r="BR321" s="117">
        <f t="shared" ca="1" si="1787"/>
        <v>0.9</v>
      </c>
      <c r="BS321" s="117">
        <f t="shared" ca="1" si="1787"/>
        <v>1.3</v>
      </c>
      <c r="BT321" s="117">
        <f t="shared" ca="1" si="1787"/>
        <v>1.3</v>
      </c>
      <c r="BU321" s="117">
        <f t="shared" ca="1" si="1787"/>
        <v>1.3</v>
      </c>
      <c r="BV321" s="278">
        <f t="shared" ca="1" si="1787"/>
        <v>1.3</v>
      </c>
      <c r="BW321" s="280">
        <f t="shared" si="1764"/>
        <v>13</v>
      </c>
      <c r="BX321" s="118">
        <f>IF($AN321="Ya",100%,100%+extraDelayZ)</f>
        <v>1</v>
      </c>
      <c r="BY321" s="263">
        <f t="shared" ref="BY321" si="1879">(1+AA321)</f>
        <v>1</v>
      </c>
      <c r="BZ321" s="264">
        <f t="shared" ref="BZ321" si="1880">(1+AB321)</f>
        <v>1</v>
      </c>
      <c r="CA321" s="264">
        <f t="shared" ref="CA321" si="1881">(1+AC321)</f>
        <v>1</v>
      </c>
      <c r="CB321" s="264">
        <f t="shared" ref="CB321" si="1882">(1+AD321)</f>
        <v>1</v>
      </c>
      <c r="CC321" s="264">
        <f t="shared" ref="CC321" si="1883">(1+AE321)</f>
        <v>1</v>
      </c>
      <c r="CD321" s="264">
        <f t="shared" ref="CD321" si="1884">(1+AF321)</f>
        <v>1</v>
      </c>
      <c r="CE321" s="264">
        <f t="shared" ref="CE321" si="1885">(1+AG321)</f>
        <v>1</v>
      </c>
      <c r="CF321" s="264">
        <f t="shared" ref="CF321" si="1886">(1+AH321)</f>
        <v>1</v>
      </c>
      <c r="CG321" s="264">
        <f t="shared" ref="CG321" si="1887">(1+AI321)</f>
        <v>1</v>
      </c>
      <c r="CH321" s="264">
        <f t="shared" ref="CH321" si="1888">(1+AJ321)</f>
        <v>1</v>
      </c>
      <c r="CI321" s="264">
        <f t="shared" ref="CI321" si="1889">(1+AK321)</f>
        <v>1</v>
      </c>
      <c r="CJ321" s="265">
        <f t="shared" ref="CJ321" si="1890">(1+AL321)</f>
        <v>1</v>
      </c>
      <c r="CK321" s="269">
        <f t="array" ref="CK321">IF(ISERROR(SUM($K321:$V321*$BY321:$CJ321)/SUM($K321:$V321)),1,SUM($K321:$V321*$BY321:$CJ321)/SUM($K321:$V321))-1</f>
        <v>0</v>
      </c>
      <c r="CL321" s="234"/>
    </row>
    <row r="322" spans="1:90" ht="12.75" hidden="1" outlineLevel="1" x14ac:dyDescent="0.2">
      <c r="B322" s="404" t="str">
        <f t="shared" ca="1" si="1767"/>
        <v>Все страницы, FullScreen, F=1</v>
      </c>
      <c r="C322" s="649" t="str">
        <f t="shared" ca="1" si="1768"/>
        <v>х1000</v>
      </c>
      <c r="D322" s="405">
        <f t="shared" ca="1" si="1769"/>
        <v>1500</v>
      </c>
      <c r="E322" s="405">
        <f t="shared" ca="1" si="1770"/>
        <v>1500</v>
      </c>
      <c r="F322" s="405">
        <f t="shared" ca="1" si="1771"/>
        <v>1500</v>
      </c>
      <c r="G322" s="406">
        <f t="shared" ca="1" si="1772"/>
        <v>1500</v>
      </c>
      <c r="H322" s="406">
        <f t="shared" ca="1" si="1773"/>
        <v>1500</v>
      </c>
      <c r="I322" s="406">
        <f t="shared" ca="1" si="1774"/>
        <v>0</v>
      </c>
      <c r="J322" s="407">
        <f t="shared" ca="1" si="1775"/>
        <v>0</v>
      </c>
      <c r="K322" s="408"/>
      <c r="L322" s="409"/>
      <c r="M322" s="409"/>
      <c r="N322" s="409"/>
      <c r="O322" s="409"/>
      <c r="P322" s="409"/>
      <c r="Q322" s="409"/>
      <c r="R322" s="409"/>
      <c r="S322" s="409"/>
      <c r="T322" s="409"/>
      <c r="U322" s="409"/>
      <c r="V322" s="410"/>
      <c r="W322" s="406">
        <f t="shared" ca="1" si="1714"/>
        <v>0</v>
      </c>
      <c r="X322" s="406"/>
      <c r="Y322" s="411"/>
      <c r="Z322" s="412">
        <f t="shared" si="1776"/>
        <v>0</v>
      </c>
      <c r="AA322" s="413"/>
      <c r="AB322" s="413"/>
      <c r="AC322" s="413"/>
      <c r="AD322" s="413"/>
      <c r="AE322" s="413"/>
      <c r="AF322" s="413"/>
      <c r="AG322" s="413"/>
      <c r="AH322" s="413"/>
      <c r="AI322" s="413"/>
      <c r="AJ322" s="413"/>
      <c r="AK322" s="413"/>
      <c r="AL322" s="413"/>
      <c r="AM322" s="572"/>
      <c r="AN322" s="351" t="s">
        <v>73</v>
      </c>
      <c r="AO322" s="351" t="str">
        <f t="shared" si="1762"/>
        <v>F1News.ru</v>
      </c>
      <c r="AP322" s="115">
        <f t="shared" si="1544"/>
        <v>18</v>
      </c>
      <c r="AQ322" s="31">
        <f t="shared" ca="1" si="1777"/>
        <v>0.25</v>
      </c>
      <c r="AR322" s="31" t="str">
        <f t="shared" ca="1" si="1777"/>
        <v>Вкл</v>
      </c>
      <c r="AS322" s="34">
        <v>0</v>
      </c>
      <c r="AT322" s="229">
        <v>0</v>
      </c>
      <c r="AU322" s="344">
        <f t="shared" ca="1" si="1778"/>
        <v>1500</v>
      </c>
      <c r="AV322" s="345">
        <f t="shared" ca="1" si="1779"/>
        <v>1500</v>
      </c>
      <c r="AW322" s="346">
        <f t="shared" ca="1" si="1780"/>
        <v>1500</v>
      </c>
      <c r="AX322" s="280"/>
      <c r="AY322" s="280"/>
      <c r="AZ322" s="347">
        <f t="shared" ca="1" si="1781"/>
        <v>1500</v>
      </c>
      <c r="BA322" s="348">
        <f t="shared" ca="1" si="1782"/>
        <v>1500</v>
      </c>
      <c r="BB322" s="347">
        <f t="shared" ca="1" si="1783"/>
        <v>1</v>
      </c>
      <c r="BC322" s="37" t="str">
        <f t="shared" ca="1" si="1783"/>
        <v>1000 контактов</v>
      </c>
      <c r="BD322" s="229" t="str">
        <f t="shared" ca="1" si="1784"/>
        <v>х1000</v>
      </c>
      <c r="BE322" s="283">
        <f t="shared" ca="1" si="1763"/>
        <v>0</v>
      </c>
      <c r="BF322" s="347">
        <f t="array" aca="1" ref="BF322" ca="1">SUM($K322:$V322*$BK322:$BV322)*$AZ322</f>
        <v>0</v>
      </c>
      <c r="BG322" s="347">
        <f t="array" aca="1" ref="BG322" ca="1">SUM($K322:$V322*$BY322:$CJ322*$BK322:$BV322)*$AZ322*$BX322</f>
        <v>0</v>
      </c>
      <c r="BH322" s="347">
        <f t="array" aca="1" ref="BH322" ca="1">SUM($K322:$V322*$BY322:$CJ322*$BK322:$BV322)*(1-$BE322)*$AZ322*$BX322</f>
        <v>0</v>
      </c>
      <c r="BI322" s="350">
        <f t="shared" ca="1" si="1785"/>
        <v>0</v>
      </c>
      <c r="BJ322" s="275" t="str">
        <f t="shared" ca="1" si="1786"/>
        <v>Да</v>
      </c>
      <c r="BK322" s="116">
        <f t="shared" ca="1" si="1787"/>
        <v>0.8</v>
      </c>
      <c r="BL322" s="117">
        <f t="shared" ca="1" si="1787"/>
        <v>0.9</v>
      </c>
      <c r="BM322" s="117">
        <f t="shared" ca="1" si="1787"/>
        <v>1</v>
      </c>
      <c r="BN322" s="117">
        <f t="shared" ca="1" si="1787"/>
        <v>1</v>
      </c>
      <c r="BO322" s="117">
        <f t="shared" ca="1" si="1787"/>
        <v>1</v>
      </c>
      <c r="BP322" s="117">
        <f t="shared" ca="1" si="1787"/>
        <v>1</v>
      </c>
      <c r="BQ322" s="117">
        <f t="shared" ca="1" si="1787"/>
        <v>0.9</v>
      </c>
      <c r="BR322" s="117">
        <f t="shared" ca="1" si="1787"/>
        <v>0.9</v>
      </c>
      <c r="BS322" s="117">
        <f t="shared" ca="1" si="1787"/>
        <v>1.3</v>
      </c>
      <c r="BT322" s="117">
        <f t="shared" ca="1" si="1787"/>
        <v>1.3</v>
      </c>
      <c r="BU322" s="117">
        <f t="shared" ca="1" si="1787"/>
        <v>1.3</v>
      </c>
      <c r="BV322" s="278">
        <f t="shared" ca="1" si="1787"/>
        <v>1.3</v>
      </c>
      <c r="BW322" s="280">
        <f t="shared" si="1764"/>
        <v>14</v>
      </c>
      <c r="BX322" s="118">
        <f>IF($AN322="Ya",100%,100%+extraDelayZ)</f>
        <v>1</v>
      </c>
      <c r="BY322" s="263">
        <f t="shared" si="1788"/>
        <v>1</v>
      </c>
      <c r="BZ322" s="264">
        <f t="shared" si="1789"/>
        <v>1</v>
      </c>
      <c r="CA322" s="264">
        <f t="shared" si="1790"/>
        <v>1</v>
      </c>
      <c r="CB322" s="264">
        <f t="shared" si="1791"/>
        <v>1</v>
      </c>
      <c r="CC322" s="264">
        <f t="shared" si="1792"/>
        <v>1</v>
      </c>
      <c r="CD322" s="264">
        <f t="shared" si="1793"/>
        <v>1</v>
      </c>
      <c r="CE322" s="264">
        <f t="shared" si="1794"/>
        <v>1</v>
      </c>
      <c r="CF322" s="264">
        <f t="shared" si="1795"/>
        <v>1</v>
      </c>
      <c r="CG322" s="264">
        <f t="shared" si="1796"/>
        <v>1</v>
      </c>
      <c r="CH322" s="264">
        <f t="shared" si="1797"/>
        <v>1</v>
      </c>
      <c r="CI322" s="264">
        <f t="shared" si="1798"/>
        <v>1</v>
      </c>
      <c r="CJ322" s="265">
        <f t="shared" si="1799"/>
        <v>1</v>
      </c>
      <c r="CK322" s="269">
        <f t="array" ref="CK322">IF(ISERROR(SUM($K322:$V322*$BY322:$CJ322)/SUM($K322:$V322)),1,SUM($K322:$V322*$BY322:$CJ322)/SUM($K322:$V322))-1</f>
        <v>0</v>
      </c>
      <c r="CL322" s="234"/>
    </row>
    <row r="323" spans="1:90" ht="12.75" hidden="1" outlineLevel="1" x14ac:dyDescent="0.2">
      <c r="B323" s="404" t="str">
        <f t="shared" ca="1" si="1767"/>
        <v>Внутренние страницы, видеобаннер 240х400/460х400</v>
      </c>
      <c r="C323" s="649" t="str">
        <f t="shared" ca="1" si="1768"/>
        <v>х1000</v>
      </c>
      <c r="D323" s="405">
        <f t="shared" ca="1" si="1769"/>
        <v>550</v>
      </c>
      <c r="E323" s="405">
        <f t="shared" ca="1" si="1770"/>
        <v>550</v>
      </c>
      <c r="F323" s="405">
        <f t="shared" ca="1" si="1771"/>
        <v>550</v>
      </c>
      <c r="G323" s="406">
        <f t="shared" ca="1" si="1772"/>
        <v>550</v>
      </c>
      <c r="H323" s="406">
        <f t="shared" ca="1" si="1773"/>
        <v>550</v>
      </c>
      <c r="I323" s="406">
        <f t="shared" ca="1" si="1774"/>
        <v>0</v>
      </c>
      <c r="J323" s="407">
        <f t="shared" ca="1" si="1775"/>
        <v>0</v>
      </c>
      <c r="K323" s="408"/>
      <c r="L323" s="409"/>
      <c r="M323" s="409"/>
      <c r="N323" s="409"/>
      <c r="O323" s="409"/>
      <c r="P323" s="409"/>
      <c r="Q323" s="409"/>
      <c r="R323" s="409"/>
      <c r="S323" s="409"/>
      <c r="T323" s="409"/>
      <c r="U323" s="409"/>
      <c r="V323" s="410"/>
      <c r="W323" s="406">
        <f t="shared" ca="1" si="1714"/>
        <v>0</v>
      </c>
      <c r="X323" s="406"/>
      <c r="Y323" s="411"/>
      <c r="Z323" s="412">
        <f t="shared" si="1776"/>
        <v>0</v>
      </c>
      <c r="AA323" s="413"/>
      <c r="AB323" s="413"/>
      <c r="AC323" s="413"/>
      <c r="AD323" s="413"/>
      <c r="AE323" s="413"/>
      <c r="AF323" s="413"/>
      <c r="AG323" s="413"/>
      <c r="AH323" s="413"/>
      <c r="AI323" s="413"/>
      <c r="AJ323" s="413"/>
      <c r="AK323" s="413"/>
      <c r="AL323" s="413"/>
      <c r="AM323" s="572"/>
      <c r="AN323" s="351" t="s">
        <v>73</v>
      </c>
      <c r="AO323" s="351" t="str">
        <f t="shared" si="1762"/>
        <v>F1News.ru</v>
      </c>
      <c r="AP323" s="115">
        <f t="shared" si="1544"/>
        <v>18</v>
      </c>
      <c r="AQ323" s="31">
        <f t="shared" ca="1" si="1777"/>
        <v>0.25</v>
      </c>
      <c r="AR323" s="31">
        <f t="shared" ca="1" si="1777"/>
        <v>0.15</v>
      </c>
      <c r="AS323" s="35">
        <v>0</v>
      </c>
      <c r="AT323" s="229">
        <v>0</v>
      </c>
      <c r="AU323" s="344">
        <f t="shared" ca="1" si="1778"/>
        <v>550</v>
      </c>
      <c r="AV323" s="345">
        <f t="shared" ca="1" si="1779"/>
        <v>550</v>
      </c>
      <c r="AW323" s="346">
        <f t="shared" ca="1" si="1780"/>
        <v>550</v>
      </c>
      <c r="AX323" s="280"/>
      <c r="AY323" s="280"/>
      <c r="AZ323" s="347">
        <f t="shared" ca="1" si="1781"/>
        <v>550</v>
      </c>
      <c r="BA323" s="348">
        <f t="shared" ca="1" si="1782"/>
        <v>550</v>
      </c>
      <c r="BB323" s="347">
        <f t="shared" ca="1" si="1783"/>
        <v>1</v>
      </c>
      <c r="BC323" s="37" t="str">
        <f t="shared" ca="1" si="1783"/>
        <v>1000 контактов</v>
      </c>
      <c r="BD323" s="229" t="str">
        <f t="shared" ca="1" si="1784"/>
        <v>х1000</v>
      </c>
      <c r="BE323" s="283">
        <f t="shared" ca="1" si="1763"/>
        <v>0</v>
      </c>
      <c r="BF323" s="347">
        <f t="array" aca="1" ref="BF323" ca="1">SUM($K323:$V323*$BK323:$BV323)*$AZ323</f>
        <v>0</v>
      </c>
      <c r="BG323" s="347">
        <f t="array" aca="1" ref="BG323" ca="1">SUM($K323:$V323*$BY323:$CJ323*$BK323:$BV323)*$AZ323*$BX323</f>
        <v>0</v>
      </c>
      <c r="BH323" s="347">
        <f t="array" aca="1" ref="BH323" ca="1">SUM($K323:$V323*$BY323:$CJ323*$BK323:$BV323)*(1-$BE323)*$AZ323*$BX323</f>
        <v>0</v>
      </c>
      <c r="BI323" s="350">
        <f t="shared" ca="1" si="1785"/>
        <v>0</v>
      </c>
      <c r="BJ323" s="275" t="str">
        <f t="shared" ca="1" si="1786"/>
        <v>Да</v>
      </c>
      <c r="BK323" s="116">
        <f t="shared" ca="1" si="1787"/>
        <v>0.8</v>
      </c>
      <c r="BL323" s="117">
        <f t="shared" ca="1" si="1787"/>
        <v>0.9</v>
      </c>
      <c r="BM323" s="117">
        <f t="shared" ca="1" si="1787"/>
        <v>1</v>
      </c>
      <c r="BN323" s="117">
        <f t="shared" ca="1" si="1787"/>
        <v>1</v>
      </c>
      <c r="BO323" s="117">
        <f t="shared" ca="1" si="1787"/>
        <v>1</v>
      </c>
      <c r="BP323" s="117">
        <f t="shared" ca="1" si="1787"/>
        <v>1</v>
      </c>
      <c r="BQ323" s="117">
        <f t="shared" ca="1" si="1787"/>
        <v>0.9</v>
      </c>
      <c r="BR323" s="117">
        <f t="shared" ca="1" si="1787"/>
        <v>0.9</v>
      </c>
      <c r="BS323" s="117">
        <f t="shared" ca="1" si="1787"/>
        <v>1.3</v>
      </c>
      <c r="BT323" s="117">
        <f t="shared" ca="1" si="1787"/>
        <v>1.3</v>
      </c>
      <c r="BU323" s="117">
        <f t="shared" ca="1" si="1787"/>
        <v>1.3</v>
      </c>
      <c r="BV323" s="278">
        <f t="shared" ca="1" si="1787"/>
        <v>1.3</v>
      </c>
      <c r="BW323" s="280">
        <f t="shared" si="1764"/>
        <v>15</v>
      </c>
      <c r="BX323" s="118">
        <f>IF($AN323="Ya",100%,100%+extraDelayZ)</f>
        <v>1</v>
      </c>
      <c r="BY323" s="263">
        <f t="shared" si="1788"/>
        <v>1</v>
      </c>
      <c r="BZ323" s="264">
        <f t="shared" si="1789"/>
        <v>1</v>
      </c>
      <c r="CA323" s="264">
        <f t="shared" si="1790"/>
        <v>1</v>
      </c>
      <c r="CB323" s="264">
        <f t="shared" si="1791"/>
        <v>1</v>
      </c>
      <c r="CC323" s="264">
        <f t="shared" si="1792"/>
        <v>1</v>
      </c>
      <c r="CD323" s="264">
        <f t="shared" si="1793"/>
        <v>1</v>
      </c>
      <c r="CE323" s="264">
        <f t="shared" si="1794"/>
        <v>1</v>
      </c>
      <c r="CF323" s="264">
        <f t="shared" si="1795"/>
        <v>1</v>
      </c>
      <c r="CG323" s="264">
        <f t="shared" si="1796"/>
        <v>1</v>
      </c>
      <c r="CH323" s="264">
        <f t="shared" si="1797"/>
        <v>1</v>
      </c>
      <c r="CI323" s="264">
        <f t="shared" si="1798"/>
        <v>1</v>
      </c>
      <c r="CJ323" s="265">
        <f t="shared" si="1799"/>
        <v>1</v>
      </c>
      <c r="CK323" s="269">
        <f t="array" ref="CK323">IF(ISERROR(SUM($K323:$V323*$BY323:$CJ323)/SUM($K323:$V323)),1,SUM($K323:$V323*$BY323:$CJ323)/SUM($K323:$V323))-1</f>
        <v>0</v>
      </c>
      <c r="CL323" s="234"/>
    </row>
    <row r="324" spans="1:90" ht="12.75" hidden="1" outlineLevel="1" x14ac:dyDescent="0.2">
      <c r="B324" s="404" t="str">
        <f t="shared" ca="1" si="1767"/>
        <v>Внутренние страницы, видеобаннер 500х300</v>
      </c>
      <c r="C324" s="649" t="str">
        <f t="shared" ca="1" si="1768"/>
        <v>х1000</v>
      </c>
      <c r="D324" s="405">
        <f t="shared" ca="1" si="1769"/>
        <v>300</v>
      </c>
      <c r="E324" s="405">
        <f t="shared" ca="1" si="1770"/>
        <v>300</v>
      </c>
      <c r="F324" s="405">
        <f t="shared" ca="1" si="1771"/>
        <v>300</v>
      </c>
      <c r="G324" s="406">
        <f t="shared" ca="1" si="1772"/>
        <v>300</v>
      </c>
      <c r="H324" s="406">
        <f t="shared" ca="1" si="1773"/>
        <v>300</v>
      </c>
      <c r="I324" s="406">
        <f t="shared" ca="1" si="1774"/>
        <v>0</v>
      </c>
      <c r="J324" s="407">
        <f t="shared" ca="1" si="1775"/>
        <v>0</v>
      </c>
      <c r="K324" s="408"/>
      <c r="L324" s="409"/>
      <c r="M324" s="409"/>
      <c r="N324" s="409"/>
      <c r="O324" s="409"/>
      <c r="P324" s="409"/>
      <c r="Q324" s="409"/>
      <c r="R324" s="409"/>
      <c r="S324" s="409"/>
      <c r="T324" s="409"/>
      <c r="U324" s="409"/>
      <c r="V324" s="410"/>
      <c r="W324" s="406">
        <f t="shared" ca="1" si="1714"/>
        <v>0</v>
      </c>
      <c r="X324" s="406"/>
      <c r="Y324" s="411"/>
      <c r="Z324" s="412">
        <f t="shared" si="1776"/>
        <v>0</v>
      </c>
      <c r="AA324" s="413"/>
      <c r="AB324" s="413"/>
      <c r="AC324" s="413"/>
      <c r="AD324" s="413"/>
      <c r="AE324" s="413"/>
      <c r="AF324" s="413"/>
      <c r="AG324" s="413"/>
      <c r="AH324" s="413"/>
      <c r="AI324" s="413"/>
      <c r="AJ324" s="413"/>
      <c r="AK324" s="413"/>
      <c r="AL324" s="413"/>
      <c r="AM324" s="572"/>
      <c r="AN324" s="351" t="s">
        <v>73</v>
      </c>
      <c r="AO324" s="351" t="str">
        <f t="shared" si="1762"/>
        <v>F1News.ru</v>
      </c>
      <c r="AP324" s="115">
        <f t="shared" si="1544"/>
        <v>18</v>
      </c>
      <c r="AQ324" s="31">
        <f t="shared" ca="1" si="1777"/>
        <v>0.25</v>
      </c>
      <c r="AR324" s="31">
        <f t="shared" ca="1" si="1777"/>
        <v>0.15</v>
      </c>
      <c r="AS324" s="34">
        <v>0</v>
      </c>
      <c r="AT324" s="229">
        <v>0</v>
      </c>
      <c r="AU324" s="344">
        <f t="shared" ca="1" si="1778"/>
        <v>300</v>
      </c>
      <c r="AV324" s="345">
        <f t="shared" ca="1" si="1779"/>
        <v>300</v>
      </c>
      <c r="AW324" s="346">
        <f t="shared" ca="1" si="1780"/>
        <v>300</v>
      </c>
      <c r="AX324" s="280"/>
      <c r="AY324" s="280"/>
      <c r="AZ324" s="347">
        <f t="shared" ca="1" si="1781"/>
        <v>300</v>
      </c>
      <c r="BA324" s="348">
        <f t="shared" ca="1" si="1782"/>
        <v>300</v>
      </c>
      <c r="BB324" s="347">
        <f t="shared" ca="1" si="1783"/>
        <v>1</v>
      </c>
      <c r="BC324" s="37" t="str">
        <f t="shared" ca="1" si="1783"/>
        <v>1000 контактов</v>
      </c>
      <c r="BD324" s="229" t="str">
        <f t="shared" ca="1" si="1784"/>
        <v>х1000</v>
      </c>
      <c r="BE324" s="283">
        <f t="shared" ca="1" si="1763"/>
        <v>0</v>
      </c>
      <c r="BF324" s="347">
        <f t="array" aca="1" ref="BF324" ca="1">SUM($K324:$V324*$BK324:$BV324)*$AZ324</f>
        <v>0</v>
      </c>
      <c r="BG324" s="347">
        <f t="array" aca="1" ref="BG324" ca="1">SUM($K324:$V324*$BY324:$CJ324*$BK324:$BV324)*$AZ324*$BX324</f>
        <v>0</v>
      </c>
      <c r="BH324" s="347">
        <f t="array" aca="1" ref="BH324" ca="1">SUM($K324:$V324*$BY324:$CJ324*$BK324:$BV324)*(1-$BE324)*$AZ324*$BX324</f>
        <v>0</v>
      </c>
      <c r="BI324" s="350">
        <f t="shared" ca="1" si="1785"/>
        <v>0</v>
      </c>
      <c r="BJ324" s="275" t="str">
        <f t="shared" ca="1" si="1786"/>
        <v>Да</v>
      </c>
      <c r="BK324" s="116">
        <f t="shared" ca="1" si="1787"/>
        <v>0.8</v>
      </c>
      <c r="BL324" s="117">
        <f t="shared" ca="1" si="1787"/>
        <v>0.9</v>
      </c>
      <c r="BM324" s="117">
        <f t="shared" ca="1" si="1787"/>
        <v>1</v>
      </c>
      <c r="BN324" s="117">
        <f t="shared" ca="1" si="1787"/>
        <v>1</v>
      </c>
      <c r="BO324" s="117">
        <f t="shared" ca="1" si="1787"/>
        <v>1</v>
      </c>
      <c r="BP324" s="117">
        <f t="shared" ca="1" si="1787"/>
        <v>1</v>
      </c>
      <c r="BQ324" s="117">
        <f t="shared" ca="1" si="1787"/>
        <v>0.9</v>
      </c>
      <c r="BR324" s="117">
        <f t="shared" ca="1" si="1787"/>
        <v>0.9</v>
      </c>
      <c r="BS324" s="117">
        <f t="shared" ca="1" si="1787"/>
        <v>1.3</v>
      </c>
      <c r="BT324" s="117">
        <f t="shared" ca="1" si="1787"/>
        <v>1.3</v>
      </c>
      <c r="BU324" s="117">
        <f t="shared" ca="1" si="1787"/>
        <v>1.3</v>
      </c>
      <c r="BV324" s="278">
        <f t="shared" ca="1" si="1787"/>
        <v>1.3</v>
      </c>
      <c r="BW324" s="280">
        <f t="shared" si="1764"/>
        <v>16</v>
      </c>
      <c r="BX324" s="118">
        <f>IF($AN324="Ya",100%,100%+extraDelayZ)</f>
        <v>1</v>
      </c>
      <c r="BY324" s="263">
        <f t="shared" si="1788"/>
        <v>1</v>
      </c>
      <c r="BZ324" s="264">
        <f t="shared" si="1789"/>
        <v>1</v>
      </c>
      <c r="CA324" s="264">
        <f t="shared" si="1790"/>
        <v>1</v>
      </c>
      <c r="CB324" s="264">
        <f t="shared" si="1791"/>
        <v>1</v>
      </c>
      <c r="CC324" s="264">
        <f t="shared" si="1792"/>
        <v>1</v>
      </c>
      <c r="CD324" s="264">
        <f t="shared" si="1793"/>
        <v>1</v>
      </c>
      <c r="CE324" s="264">
        <f t="shared" si="1794"/>
        <v>1</v>
      </c>
      <c r="CF324" s="264">
        <f t="shared" si="1795"/>
        <v>1</v>
      </c>
      <c r="CG324" s="264">
        <f t="shared" si="1796"/>
        <v>1</v>
      </c>
      <c r="CH324" s="264">
        <f t="shared" si="1797"/>
        <v>1</v>
      </c>
      <c r="CI324" s="264">
        <f t="shared" si="1798"/>
        <v>1</v>
      </c>
      <c r="CJ324" s="265">
        <f t="shared" si="1799"/>
        <v>1</v>
      </c>
      <c r="CK324" s="269">
        <f t="array" ref="CK324">IF(ISERROR(SUM($K324:$V324*$BY324:$CJ324)/SUM($K324:$V324)),1,SUM($K324:$V324*$BY324:$CJ324)/SUM($K324:$V324))-1</f>
        <v>0</v>
      </c>
      <c r="CL324" s="234"/>
    </row>
    <row r="325" spans="1:90" ht="12.75" hidden="1" outlineLevel="1" x14ac:dyDescent="0.2">
      <c r="B325" s="404" t="str">
        <f t="shared" ca="1" si="1767"/>
        <v>Главная страница, 100%х90 / 300, статика, F=1</v>
      </c>
      <c r="C325" s="649" t="str">
        <f t="shared" ca="1" si="1768"/>
        <v>Нед</v>
      </c>
      <c r="D325" s="405">
        <f t="shared" ca="1" si="1769"/>
        <v>330</v>
      </c>
      <c r="E325" s="405">
        <f t="shared" ca="1" si="1770"/>
        <v>330</v>
      </c>
      <c r="F325" s="405">
        <f t="shared" ca="1" si="1771"/>
        <v>330</v>
      </c>
      <c r="G325" s="406">
        <f t="shared" ca="1" si="1772"/>
        <v>495000</v>
      </c>
      <c r="H325" s="406">
        <f t="shared" ca="1" si="1773"/>
        <v>495000</v>
      </c>
      <c r="I325" s="406">
        <f t="shared" ca="1" si="1774"/>
        <v>0</v>
      </c>
      <c r="J325" s="407">
        <f t="shared" ca="1" si="1775"/>
        <v>0</v>
      </c>
      <c r="K325" s="408"/>
      <c r="L325" s="409"/>
      <c r="M325" s="409"/>
      <c r="N325" s="409"/>
      <c r="O325" s="409"/>
      <c r="P325" s="409"/>
      <c r="Q325" s="409"/>
      <c r="R325" s="409"/>
      <c r="S325" s="409"/>
      <c r="T325" s="409"/>
      <c r="U325" s="409"/>
      <c r="V325" s="410"/>
      <c r="W325" s="406">
        <f t="shared" ca="1" si="1714"/>
        <v>0</v>
      </c>
      <c r="X325" s="406"/>
      <c r="Y325" s="411"/>
      <c r="Z325" s="412">
        <f t="shared" si="1776"/>
        <v>0</v>
      </c>
      <c r="AA325" s="413"/>
      <c r="AB325" s="413"/>
      <c r="AC325" s="413"/>
      <c r="AD325" s="413"/>
      <c r="AE325" s="413"/>
      <c r="AF325" s="413"/>
      <c r="AG325" s="413"/>
      <c r="AH325" s="413"/>
      <c r="AI325" s="413"/>
      <c r="AJ325" s="413"/>
      <c r="AK325" s="413"/>
      <c r="AL325" s="413"/>
      <c r="AM325" s="572"/>
      <c r="AN325" s="351" t="s">
        <v>73</v>
      </c>
      <c r="AO325" s="351" t="str">
        <f t="shared" si="1762"/>
        <v>F1News.ru</v>
      </c>
      <c r="AP325" s="115">
        <f t="shared" si="1544"/>
        <v>18</v>
      </c>
      <c r="AQ325" s="31" t="str">
        <f t="shared" ca="1" si="1777"/>
        <v>-</v>
      </c>
      <c r="AR325" s="31" t="str">
        <f t="shared" ca="1" si="1777"/>
        <v>-</v>
      </c>
      <c r="AS325" s="35">
        <v>0</v>
      </c>
      <c r="AT325" s="229">
        <v>0</v>
      </c>
      <c r="AU325" s="344">
        <f t="shared" ca="1" si="1778"/>
        <v>330</v>
      </c>
      <c r="AV325" s="345">
        <f t="shared" ca="1" si="1779"/>
        <v>330</v>
      </c>
      <c r="AW325" s="346">
        <f t="shared" ca="1" si="1780"/>
        <v>330</v>
      </c>
      <c r="AX325" s="280"/>
      <c r="AY325" s="280"/>
      <c r="AZ325" s="347">
        <f t="shared" ca="1" si="1781"/>
        <v>495000</v>
      </c>
      <c r="BA325" s="348">
        <f t="shared" ca="1" si="1782"/>
        <v>495000</v>
      </c>
      <c r="BB325" s="347">
        <f t="shared" ca="1" si="1783"/>
        <v>1500</v>
      </c>
      <c r="BC325" s="37" t="str">
        <f t="shared" ca="1" si="1783"/>
        <v>Неделя</v>
      </c>
      <c r="BD325" s="229" t="str">
        <f t="shared" ca="1" si="1784"/>
        <v>Нед</v>
      </c>
      <c r="BE325" s="283">
        <f t="shared" ca="1" si="1763"/>
        <v>0</v>
      </c>
      <c r="BF325" s="347">
        <f t="array" aca="1" ref="BF325" ca="1">SUM($K325:$V325*$BK325:$BV325)*$AZ325</f>
        <v>0</v>
      </c>
      <c r="BG325" s="347">
        <f t="array" aca="1" ref="BG325" ca="1">SUM($K325:$V325*$BY325:$CJ325*$BK325:$BV325)*$AZ325*$BX325</f>
        <v>0</v>
      </c>
      <c r="BH325" s="347">
        <f t="array" aca="1" ref="BH325" ca="1">SUM($K325:$V325*$BY325:$CJ325*$BK325:$BV325)*(1-$BE325)*$AZ325*$BX325</f>
        <v>0</v>
      </c>
      <c r="BI325" s="350">
        <f t="shared" ca="1" si="1785"/>
        <v>0</v>
      </c>
      <c r="BJ325" s="275" t="str">
        <f t="shared" ca="1" si="1786"/>
        <v>Да</v>
      </c>
      <c r="BK325" s="116">
        <f t="shared" ca="1" si="1787"/>
        <v>0.8</v>
      </c>
      <c r="BL325" s="117">
        <f t="shared" ca="1" si="1787"/>
        <v>0.9</v>
      </c>
      <c r="BM325" s="117">
        <f t="shared" ca="1" si="1787"/>
        <v>1</v>
      </c>
      <c r="BN325" s="117">
        <f t="shared" ca="1" si="1787"/>
        <v>1</v>
      </c>
      <c r="BO325" s="117">
        <f t="shared" ca="1" si="1787"/>
        <v>1</v>
      </c>
      <c r="BP325" s="117">
        <f t="shared" ca="1" si="1787"/>
        <v>1</v>
      </c>
      <c r="BQ325" s="117">
        <f t="shared" ca="1" si="1787"/>
        <v>0.9</v>
      </c>
      <c r="BR325" s="117">
        <f t="shared" ca="1" si="1787"/>
        <v>0.9</v>
      </c>
      <c r="BS325" s="117">
        <f t="shared" ca="1" si="1787"/>
        <v>1.3</v>
      </c>
      <c r="BT325" s="117">
        <f t="shared" ca="1" si="1787"/>
        <v>1.3</v>
      </c>
      <c r="BU325" s="117">
        <f t="shared" ca="1" si="1787"/>
        <v>1.3</v>
      </c>
      <c r="BV325" s="278">
        <f t="shared" ca="1" si="1787"/>
        <v>1.3</v>
      </c>
      <c r="BW325" s="280">
        <f t="shared" si="1764"/>
        <v>17</v>
      </c>
      <c r="BX325" s="118">
        <f>IF($AN325="Ya",100%,100%+extraDelayZ)</f>
        <v>1</v>
      </c>
      <c r="BY325" s="263">
        <f t="shared" si="1788"/>
        <v>1</v>
      </c>
      <c r="BZ325" s="264">
        <f t="shared" si="1789"/>
        <v>1</v>
      </c>
      <c r="CA325" s="264">
        <f t="shared" si="1790"/>
        <v>1</v>
      </c>
      <c r="CB325" s="264">
        <f t="shared" si="1791"/>
        <v>1</v>
      </c>
      <c r="CC325" s="264">
        <f t="shared" si="1792"/>
        <v>1</v>
      </c>
      <c r="CD325" s="264">
        <f t="shared" si="1793"/>
        <v>1</v>
      </c>
      <c r="CE325" s="264">
        <f t="shared" si="1794"/>
        <v>1</v>
      </c>
      <c r="CF325" s="264">
        <f t="shared" si="1795"/>
        <v>1</v>
      </c>
      <c r="CG325" s="264">
        <f t="shared" si="1796"/>
        <v>1</v>
      </c>
      <c r="CH325" s="264">
        <f t="shared" si="1797"/>
        <v>1</v>
      </c>
      <c r="CI325" s="264">
        <f t="shared" si="1798"/>
        <v>1</v>
      </c>
      <c r="CJ325" s="265">
        <f t="shared" si="1799"/>
        <v>1</v>
      </c>
      <c r="CK325" s="269">
        <f t="array" ref="CK325">IF(ISERROR(SUM($K325:$V325*$BY325:$CJ325)/SUM($K325:$V325)),1,SUM($K325:$V325*$BY325:$CJ325)/SUM($K325:$V325))-1</f>
        <v>0</v>
      </c>
      <c r="CL325" s="234"/>
    </row>
    <row r="326" spans="1:90" ht="12.75" hidden="1" outlineLevel="1" x14ac:dyDescent="0.2">
      <c r="B326" s="414" t="str">
        <f t="shared" ca="1" si="1767"/>
        <v>Главная страница, Томагавк (240х400+100%х90), статика</v>
      </c>
      <c r="C326" s="649" t="str">
        <f t="shared" ca="1" si="1768"/>
        <v>Нед</v>
      </c>
      <c r="D326" s="415">
        <f t="shared" ca="1" si="1769"/>
        <v>450</v>
      </c>
      <c r="E326" s="415">
        <f t="shared" ca="1" si="1770"/>
        <v>450</v>
      </c>
      <c r="F326" s="415">
        <f t="shared" ca="1" si="1771"/>
        <v>450</v>
      </c>
      <c r="G326" s="416">
        <f t="shared" ca="1" si="1772"/>
        <v>675000</v>
      </c>
      <c r="H326" s="416">
        <f t="shared" ca="1" si="1773"/>
        <v>675000</v>
      </c>
      <c r="I326" s="406">
        <f t="shared" ca="1" si="1774"/>
        <v>0</v>
      </c>
      <c r="J326" s="407">
        <f t="shared" ca="1" si="1775"/>
        <v>0</v>
      </c>
      <c r="K326" s="417"/>
      <c r="L326" s="418"/>
      <c r="M326" s="418"/>
      <c r="N326" s="418"/>
      <c r="O326" s="418"/>
      <c r="P326" s="418"/>
      <c r="Q326" s="418"/>
      <c r="R326" s="418"/>
      <c r="S326" s="418"/>
      <c r="T326" s="418"/>
      <c r="U326" s="418"/>
      <c r="V326" s="419"/>
      <c r="W326" s="416">
        <f t="shared" ca="1" si="1714"/>
        <v>0</v>
      </c>
      <c r="X326" s="416"/>
      <c r="Y326" s="420"/>
      <c r="Z326" s="412">
        <f t="shared" si="1776"/>
        <v>0</v>
      </c>
      <c r="AA326" s="421"/>
      <c r="AB326" s="421"/>
      <c r="AC326" s="421"/>
      <c r="AD326" s="421"/>
      <c r="AE326" s="421"/>
      <c r="AF326" s="421"/>
      <c r="AG326" s="421"/>
      <c r="AH326" s="421"/>
      <c r="AI326" s="421"/>
      <c r="AJ326" s="421"/>
      <c r="AK326" s="421"/>
      <c r="AL326" s="421"/>
      <c r="AM326" s="573"/>
      <c r="AN326" s="351" t="s">
        <v>73</v>
      </c>
      <c r="AO326" s="351" t="str">
        <f t="shared" si="1762"/>
        <v>F1News.ru</v>
      </c>
      <c r="AP326" s="115">
        <f t="shared" si="1544"/>
        <v>18</v>
      </c>
      <c r="AQ326" s="31" t="str">
        <f t="shared" ca="1" si="1777"/>
        <v>-</v>
      </c>
      <c r="AR326" s="31" t="str">
        <f t="shared" ca="1" si="1777"/>
        <v>-</v>
      </c>
      <c r="AS326" s="34">
        <v>0</v>
      </c>
      <c r="AT326" s="229">
        <v>0</v>
      </c>
      <c r="AU326" s="344">
        <f t="shared" ca="1" si="1778"/>
        <v>450</v>
      </c>
      <c r="AV326" s="345">
        <f t="shared" ca="1" si="1779"/>
        <v>450</v>
      </c>
      <c r="AW326" s="346">
        <f t="shared" ca="1" si="1780"/>
        <v>450</v>
      </c>
      <c r="AX326" s="280"/>
      <c r="AY326" s="280"/>
      <c r="AZ326" s="347">
        <f t="shared" ca="1" si="1781"/>
        <v>675000</v>
      </c>
      <c r="BA326" s="348">
        <f t="shared" ca="1" si="1782"/>
        <v>675000</v>
      </c>
      <c r="BB326" s="347">
        <f t="shared" ca="1" si="1783"/>
        <v>1500</v>
      </c>
      <c r="BC326" s="37" t="str">
        <f t="shared" ca="1" si="1783"/>
        <v>Неделя</v>
      </c>
      <c r="BD326" s="229" t="str">
        <f t="shared" ca="1" si="1784"/>
        <v>Нед</v>
      </c>
      <c r="BE326" s="283">
        <f t="shared" ca="1" si="1763"/>
        <v>0</v>
      </c>
      <c r="BF326" s="347">
        <f t="array" aca="1" ref="BF326" ca="1">SUM($K326:$V326*$BK326:$BV326)*$AZ326</f>
        <v>0</v>
      </c>
      <c r="BG326" s="347">
        <f t="array" aca="1" ref="BG326" ca="1">SUM($K326:$V326*$BY326:$CJ326*$BK326:$BV326)*$AZ326*$BX326</f>
        <v>0</v>
      </c>
      <c r="BH326" s="347">
        <f t="array" aca="1" ref="BH326" ca="1">SUM($K326:$V326*$BY326:$CJ326*$BK326:$BV326)*(1-$BE326)*$AZ326*$BX326</f>
        <v>0</v>
      </c>
      <c r="BI326" s="350">
        <f t="shared" ca="1" si="1785"/>
        <v>0</v>
      </c>
      <c r="BJ326" s="275" t="str">
        <f t="shared" ca="1" si="1786"/>
        <v>Да</v>
      </c>
      <c r="BK326" s="116">
        <f t="shared" ca="1" si="1787"/>
        <v>0.8</v>
      </c>
      <c r="BL326" s="117">
        <f t="shared" ca="1" si="1787"/>
        <v>0.9</v>
      </c>
      <c r="BM326" s="117">
        <f t="shared" ca="1" si="1787"/>
        <v>1</v>
      </c>
      <c r="BN326" s="117">
        <f t="shared" ca="1" si="1787"/>
        <v>1</v>
      </c>
      <c r="BO326" s="117">
        <f t="shared" ca="1" si="1787"/>
        <v>1</v>
      </c>
      <c r="BP326" s="117">
        <f t="shared" ca="1" si="1787"/>
        <v>1</v>
      </c>
      <c r="BQ326" s="117">
        <f t="shared" ca="1" si="1787"/>
        <v>0.9</v>
      </c>
      <c r="BR326" s="117">
        <f t="shared" ca="1" si="1787"/>
        <v>0.9</v>
      </c>
      <c r="BS326" s="117">
        <f t="shared" ca="1" si="1787"/>
        <v>1.3</v>
      </c>
      <c r="BT326" s="117">
        <f t="shared" ca="1" si="1787"/>
        <v>1.3</v>
      </c>
      <c r="BU326" s="117">
        <f t="shared" ca="1" si="1787"/>
        <v>1.3</v>
      </c>
      <c r="BV326" s="278">
        <f t="shared" ca="1" si="1787"/>
        <v>1.3</v>
      </c>
      <c r="BW326" s="280">
        <f t="shared" si="1764"/>
        <v>18</v>
      </c>
      <c r="BX326" s="118">
        <f>IF($AN326="Ya",100%,100%+extraDelayZ)</f>
        <v>1</v>
      </c>
      <c r="BY326" s="263">
        <f t="shared" si="1788"/>
        <v>1</v>
      </c>
      <c r="BZ326" s="264">
        <f t="shared" si="1789"/>
        <v>1</v>
      </c>
      <c r="CA326" s="264">
        <f t="shared" si="1790"/>
        <v>1</v>
      </c>
      <c r="CB326" s="264">
        <f t="shared" si="1791"/>
        <v>1</v>
      </c>
      <c r="CC326" s="264">
        <f t="shared" si="1792"/>
        <v>1</v>
      </c>
      <c r="CD326" s="264">
        <f t="shared" si="1793"/>
        <v>1</v>
      </c>
      <c r="CE326" s="264">
        <f t="shared" si="1794"/>
        <v>1</v>
      </c>
      <c r="CF326" s="264">
        <f t="shared" si="1795"/>
        <v>1</v>
      </c>
      <c r="CG326" s="264">
        <f t="shared" si="1796"/>
        <v>1</v>
      </c>
      <c r="CH326" s="264">
        <f t="shared" si="1797"/>
        <v>1</v>
      </c>
      <c r="CI326" s="264">
        <f t="shared" si="1798"/>
        <v>1</v>
      </c>
      <c r="CJ326" s="265">
        <f t="shared" si="1799"/>
        <v>1</v>
      </c>
      <c r="CK326" s="269">
        <f t="array" ref="CK326">IF(ISERROR(SUM($K326:$V326*$BY326:$CJ326)/SUM($K326:$V326)),1,SUM($K326:$V326*$BY326:$CJ326)/SUM($K326:$V326))-1</f>
        <v>0</v>
      </c>
      <c r="CL326" s="234"/>
    </row>
    <row r="327" spans="1:90" ht="15" collapsed="1" x14ac:dyDescent="0.2">
      <c r="A327" s="391"/>
      <c r="B327" s="392" t="str">
        <f>CONCATENATE($AO327,IF($AX327&gt;0,CONCATENATE("  (план ",TEXT(INDEX(indBudX,MATCH($AN327,indPrefixX,0)),"# ##0")," руб.)"),""))</f>
        <v>Видеосеть</v>
      </c>
      <c r="C327" s="650" t="s">
        <v>363</v>
      </c>
      <c r="D327" s="393"/>
      <c r="E327" s="394"/>
      <c r="F327" s="394"/>
      <c r="G327" s="395"/>
      <c r="H327" s="395"/>
      <c r="I327" s="395">
        <f t="shared" ref="I327" ca="1" si="1891">$BG327</f>
        <v>0</v>
      </c>
      <c r="J327" s="396">
        <f ca="1">$BH327</f>
        <v>0</v>
      </c>
      <c r="K327" s="397"/>
      <c r="L327" s="398"/>
      <c r="M327" s="398"/>
      <c r="N327" s="398"/>
      <c r="O327" s="398"/>
      <c r="P327" s="398"/>
      <c r="Q327" s="398"/>
      <c r="R327" s="398"/>
      <c r="S327" s="398"/>
      <c r="T327" s="398"/>
      <c r="U327" s="398"/>
      <c r="V327" s="399"/>
      <c r="W327" s="395">
        <f t="shared" ca="1" si="1714"/>
        <v>0</v>
      </c>
      <c r="X327" s="576"/>
      <c r="Y327" s="400">
        <f ca="1">$BE327</f>
        <v>0</v>
      </c>
      <c r="Z327" s="401"/>
      <c r="AA327" s="402"/>
      <c r="AB327" s="402"/>
      <c r="AC327" s="402"/>
      <c r="AD327" s="402"/>
      <c r="AE327" s="402"/>
      <c r="AF327" s="402"/>
      <c r="AG327" s="402"/>
      <c r="AH327" s="402"/>
      <c r="AI327" s="402"/>
      <c r="AJ327" s="402"/>
      <c r="AK327" s="402"/>
      <c r="AL327" s="402"/>
      <c r="AM327" s="403"/>
      <c r="AN327" s="130" t="s">
        <v>472</v>
      </c>
      <c r="AO327" s="130" t="str">
        <f t="shared" si="1762"/>
        <v>Видеосеть</v>
      </c>
      <c r="AP327" s="119">
        <f t="shared" si="1544"/>
        <v>14</v>
      </c>
      <c r="AQ327" s="120"/>
      <c r="AR327" s="120"/>
      <c r="AS327" s="121"/>
      <c r="AT327" s="228"/>
      <c r="AU327" s="232"/>
      <c r="AV327" s="179"/>
      <c r="AW327" s="233"/>
      <c r="AX327" s="279">
        <f>IF(ISERROR(INDEX(indBudX,MATCH($AN327,indPrefixX,0))),0,INDEX(indBudX,MATCH($AN327,indPrefixX,0)))</f>
        <v>0</v>
      </c>
      <c r="AY327" s="279">
        <f>IF(ISNUMBER($X327),$X327,0)</f>
        <v>0</v>
      </c>
      <c r="AZ327" s="123"/>
      <c r="BA327" s="125"/>
      <c r="BB327" s="123"/>
      <c r="BC327" s="124"/>
      <c r="BD327" s="464"/>
      <c r="BE327" s="282">
        <f t="shared" ca="1" si="1763"/>
        <v>0</v>
      </c>
      <c r="BF327" s="123">
        <f t="shared" ref="BF327:BI327" ca="1" si="1892">SUM(OFFSET(BF327,1,0,$AP327-1,1))</f>
        <v>0</v>
      </c>
      <c r="BG327" s="123">
        <f t="shared" ca="1" si="1892"/>
        <v>0</v>
      </c>
      <c r="BH327" s="123">
        <f t="shared" ca="1" si="1892"/>
        <v>0</v>
      </c>
      <c r="BI327" s="273">
        <f t="shared" ca="1" si="1892"/>
        <v>0</v>
      </c>
      <c r="BJ327" s="274"/>
      <c r="BK327" s="126"/>
      <c r="BL327" s="127"/>
      <c r="BM327" s="127"/>
      <c r="BN327" s="127"/>
      <c r="BO327" s="127"/>
      <c r="BP327" s="127"/>
      <c r="BQ327" s="127"/>
      <c r="BR327" s="127"/>
      <c r="BS327" s="127"/>
      <c r="BT327" s="127"/>
      <c r="BU327" s="127"/>
      <c r="BV327" s="277"/>
      <c r="BW327" s="279">
        <f t="shared" si="1764"/>
        <v>1</v>
      </c>
      <c r="BX327" s="128"/>
      <c r="BY327" s="260"/>
      <c r="BZ327" s="261"/>
      <c r="CA327" s="261"/>
      <c r="CB327" s="261"/>
      <c r="CC327" s="261"/>
      <c r="CD327" s="261"/>
      <c r="CE327" s="261"/>
      <c r="CF327" s="261"/>
      <c r="CG327" s="261"/>
      <c r="CH327" s="261"/>
      <c r="CI327" s="261"/>
      <c r="CJ327" s="262"/>
      <c r="CK327" s="270"/>
      <c r="CL327" s="234"/>
    </row>
    <row r="328" spans="1:90" ht="12.75" hidden="1" outlineLevel="1" x14ac:dyDescent="0.2">
      <c r="B328" s="404" t="str">
        <f t="shared" ref="B328:B340" ca="1" si="1893">INDEX(INDIRECT(LOWER($AN328)&amp;"Price"),$BW328,2)</f>
        <v>Пакет "Охват 3500К", Multi-roll 400x300</v>
      </c>
      <c r="C328" s="676" t="str">
        <f t="shared" ref="C328:C340" ca="1" si="1894">$BD328</f>
        <v>Пакет</v>
      </c>
      <c r="D328" s="405">
        <f t="shared" ref="D328:D340" ca="1" si="1895">$AU328</f>
        <v>600</v>
      </c>
      <c r="E328" s="405">
        <f t="shared" ref="E328:E340" ca="1" si="1896">$AV328</f>
        <v>600</v>
      </c>
      <c r="F328" s="405">
        <f t="shared" ref="F328:F340" ca="1" si="1897">$AW328</f>
        <v>600</v>
      </c>
      <c r="G328" s="406">
        <f t="shared" ref="G328:G340" ca="1" si="1898">$AZ328</f>
        <v>2100000</v>
      </c>
      <c r="H328" s="406">
        <f t="shared" ref="H328:H340" ca="1" si="1899">$BA328</f>
        <v>2100000</v>
      </c>
      <c r="I328" s="406">
        <f t="shared" ref="I328:I340" ca="1" si="1900">$BG328</f>
        <v>0</v>
      </c>
      <c r="J328" s="407">
        <f t="shared" ref="J328:J340" ca="1" si="1901">$BH328</f>
        <v>0</v>
      </c>
      <c r="K328" s="408"/>
      <c r="L328" s="409"/>
      <c r="M328" s="409"/>
      <c r="N328" s="409"/>
      <c r="O328" s="409"/>
      <c r="P328" s="409"/>
      <c r="Q328" s="409"/>
      <c r="R328" s="409"/>
      <c r="S328" s="409"/>
      <c r="T328" s="409"/>
      <c r="U328" s="409"/>
      <c r="V328" s="410"/>
      <c r="W328" s="406">
        <f t="shared" ca="1" si="1714"/>
        <v>0</v>
      </c>
      <c r="X328" s="406"/>
      <c r="Y328" s="411"/>
      <c r="Z328" s="412">
        <f t="shared" ref="Z328:Z340" si="1902">CK328</f>
        <v>0</v>
      </c>
      <c r="AA328" s="413"/>
      <c r="AB328" s="413"/>
      <c r="AC328" s="413"/>
      <c r="AD328" s="413"/>
      <c r="AE328" s="413"/>
      <c r="AF328" s="413"/>
      <c r="AG328" s="413"/>
      <c r="AH328" s="413"/>
      <c r="AI328" s="413"/>
      <c r="AJ328" s="413"/>
      <c r="AK328" s="413"/>
      <c r="AL328" s="413"/>
      <c r="AM328" s="572"/>
      <c r="AN328" s="351" t="s">
        <v>472</v>
      </c>
      <c r="AO328" s="351" t="str">
        <f t="shared" si="1762"/>
        <v>Видеосеть</v>
      </c>
      <c r="AP328" s="115">
        <f t="shared" si="1544"/>
        <v>14</v>
      </c>
      <c r="AQ328" s="31">
        <f t="shared" ref="AQ328:AR340" ca="1" si="1903">HLOOKUP(AQ$10,INDIRECT(LOWER($AN328)&amp;"Price"),$BW328,FALSE)</f>
        <v>0.25</v>
      </c>
      <c r="AR328" s="31" t="str">
        <f t="shared" ca="1" si="1903"/>
        <v>Вкл.</v>
      </c>
      <c r="AS328" s="35">
        <v>0</v>
      </c>
      <c r="AT328" s="229">
        <v>0</v>
      </c>
      <c r="AU328" s="344">
        <f t="shared" ref="AU328:AU340" ca="1" si="1904">HLOOKUP(AU$10,INDIRECT(LOWER($AN328)&amp;"Price"),$BW328,FALSE)</f>
        <v>600</v>
      </c>
      <c r="AV328" s="345">
        <f t="shared" ref="AV328:AV340" ca="1" si="1905">IF(ISERROR($BG328/$BI328),$AU328,$BG328/$BI328)</f>
        <v>600</v>
      </c>
      <c r="AW328" s="346">
        <f t="shared" ref="AW328:AW340" ca="1" si="1906">$AV328*(1-$BE328)</f>
        <v>600</v>
      </c>
      <c r="AX328" s="280"/>
      <c r="AY328" s="280"/>
      <c r="AZ328" s="347">
        <f t="shared" ref="AZ328:AZ340" ca="1" si="1907">HLOOKUP(AZ$10,INDIRECT(LOWER($AN328)&amp;"Price"),$BW328,FALSE)</f>
        <v>2100000</v>
      </c>
      <c r="BA328" s="348">
        <f t="shared" ref="BA328:BA340" ca="1" si="1908">$AZ328*(1-$BE328)</f>
        <v>2100000</v>
      </c>
      <c r="BB328" s="347">
        <f t="shared" ref="BB328:BC340" ca="1" si="1909">HLOOKUP(BB$10,INDIRECT(LOWER($AN328)&amp;"Price"),$BW328,FALSE)</f>
        <v>3500</v>
      </c>
      <c r="BC328" s="37" t="str">
        <f t="shared" ca="1" si="1909"/>
        <v>Пакет</v>
      </c>
      <c r="BD328" s="229" t="str">
        <f t="shared" ref="BD328:BD340" ca="1" si="1910">IF(ISERROR(VLOOKUP($BC328,typeIndexPair,2,FALSE)),"",VLOOKUP($BC328,typeIndexPair,2,FALSE))</f>
        <v>Пакет</v>
      </c>
      <c r="BE328" s="283">
        <f t="shared" ca="1" si="1763"/>
        <v>0</v>
      </c>
      <c r="BF328" s="347">
        <f t="array" aca="1" ref="BF328" ca="1">SUM($K328:$V328*$BK328:$BV328)*$AZ328</f>
        <v>0</v>
      </c>
      <c r="BG328" s="347">
        <f t="array" aca="1" ref="BG328" ca="1">SUM($K328:$V328*$BY328:$CJ328*$BK328:$BV328)*$AZ328*$BX328</f>
        <v>0</v>
      </c>
      <c r="BH328" s="347">
        <f t="array" aca="1" ref="BH328" ca="1">SUM($K328:$V328*$BY328:$CJ328*$BK328:$BV328)*(1-$BE328)*$AZ328*$BX328</f>
        <v>0</v>
      </c>
      <c r="BI328" s="350">
        <f t="shared" ref="BI328:BI340" ca="1" si="1911">SUM($K328:$V328)*$BB328</f>
        <v>0</v>
      </c>
      <c r="BJ328" s="275" t="str">
        <f t="shared" ref="BJ328:BJ340" ca="1" si="1912">IF(ISERROR(HLOOKUP(BJ$10,INDIRECT(LOWER($AN328)&amp;"Price"),$BW328,FALSE)),"Да",HLOOKUP(BJ$10,INDIRECT(LOWER($AN328)&amp;"Price"),$BW328,FALSE))</f>
        <v>Да</v>
      </c>
      <c r="BK328" s="116">
        <f t="shared" ref="BK328:BV340" ca="1" si="1913">IF($BJ328="Особ.",INDEX(INDIRECT(LOWER($AN328)&amp;"Season2"),BK$9),IF($BJ328="Да",INDEX(INDIRECT(LOWER($AN328)&amp;"Season"),BK$9),100%))</f>
        <v>0.8</v>
      </c>
      <c r="BL328" s="117">
        <f t="shared" ca="1" si="1913"/>
        <v>0.9</v>
      </c>
      <c r="BM328" s="117">
        <f t="shared" ca="1" si="1913"/>
        <v>1</v>
      </c>
      <c r="BN328" s="117">
        <f t="shared" ca="1" si="1913"/>
        <v>1</v>
      </c>
      <c r="BO328" s="117">
        <f t="shared" ca="1" si="1913"/>
        <v>1</v>
      </c>
      <c r="BP328" s="117">
        <f t="shared" ca="1" si="1913"/>
        <v>1</v>
      </c>
      <c r="BQ328" s="117">
        <f t="shared" ca="1" si="1913"/>
        <v>0.9</v>
      </c>
      <c r="BR328" s="117">
        <f t="shared" ca="1" si="1913"/>
        <v>0.9</v>
      </c>
      <c r="BS328" s="117">
        <f t="shared" ca="1" si="1913"/>
        <v>1.3</v>
      </c>
      <c r="BT328" s="117">
        <f t="shared" ca="1" si="1913"/>
        <v>1.3</v>
      </c>
      <c r="BU328" s="117">
        <f t="shared" ca="1" si="1913"/>
        <v>1.3</v>
      </c>
      <c r="BV328" s="278">
        <f t="shared" ca="1" si="1913"/>
        <v>1.3</v>
      </c>
      <c r="BW328" s="280">
        <f t="shared" si="1764"/>
        <v>2</v>
      </c>
      <c r="BX328" s="118">
        <f>IF($AN328="Ya",100%,100%+extraDelayZ)</f>
        <v>1</v>
      </c>
      <c r="BY328" s="263">
        <f t="shared" ref="BY328:BY340" si="1914">(1+AA328)</f>
        <v>1</v>
      </c>
      <c r="BZ328" s="264">
        <f t="shared" ref="BZ328:BZ340" si="1915">(1+AB328)</f>
        <v>1</v>
      </c>
      <c r="CA328" s="264">
        <f t="shared" ref="CA328:CA340" si="1916">(1+AC328)</f>
        <v>1</v>
      </c>
      <c r="CB328" s="264">
        <f t="shared" ref="CB328:CB340" si="1917">(1+AD328)</f>
        <v>1</v>
      </c>
      <c r="CC328" s="264">
        <f t="shared" ref="CC328:CC340" si="1918">(1+AE328)</f>
        <v>1</v>
      </c>
      <c r="CD328" s="264">
        <f t="shared" ref="CD328:CD340" si="1919">(1+AF328)</f>
        <v>1</v>
      </c>
      <c r="CE328" s="264">
        <f t="shared" ref="CE328:CE340" si="1920">(1+AG328)</f>
        <v>1</v>
      </c>
      <c r="CF328" s="264">
        <f t="shared" ref="CF328:CF340" si="1921">(1+AH328)</f>
        <v>1</v>
      </c>
      <c r="CG328" s="264">
        <f t="shared" ref="CG328:CG340" si="1922">(1+AI328)</f>
        <v>1</v>
      </c>
      <c r="CH328" s="264">
        <f t="shared" ref="CH328:CH340" si="1923">(1+AJ328)</f>
        <v>1</v>
      </c>
      <c r="CI328" s="264">
        <f t="shared" ref="CI328:CI340" si="1924">(1+AK328)</f>
        <v>1</v>
      </c>
      <c r="CJ328" s="265">
        <f t="shared" ref="CJ328:CJ340" si="1925">(1+AL328)</f>
        <v>1</v>
      </c>
      <c r="CK328" s="269">
        <f t="array" ref="CK328">IF(ISERROR(SUM($K328:$V328*$BY328:$CJ328)/SUM($K328:$V328)),1,SUM($K328:$V328*$BY328:$CJ328)/SUM($K328:$V328))-1</f>
        <v>0</v>
      </c>
      <c r="CL328" s="234"/>
    </row>
    <row r="329" spans="1:90" ht="12.75" hidden="1" outlineLevel="1" x14ac:dyDescent="0.2">
      <c r="B329" s="404" t="str">
        <f t="shared" ca="1" si="1893"/>
        <v>Пакет "Охват 2500К", Multi-roll 400x300</v>
      </c>
      <c r="C329" s="676" t="str">
        <f t="shared" ca="1" si="1894"/>
        <v>Пакет</v>
      </c>
      <c r="D329" s="405">
        <f t="shared" ca="1" si="1895"/>
        <v>650</v>
      </c>
      <c r="E329" s="405">
        <f t="shared" ca="1" si="1896"/>
        <v>650</v>
      </c>
      <c r="F329" s="405">
        <f t="shared" ca="1" si="1897"/>
        <v>650</v>
      </c>
      <c r="G329" s="406">
        <f t="shared" ca="1" si="1898"/>
        <v>1625000</v>
      </c>
      <c r="H329" s="406">
        <f t="shared" ca="1" si="1899"/>
        <v>1625000</v>
      </c>
      <c r="I329" s="406">
        <f t="shared" ca="1" si="1900"/>
        <v>0</v>
      </c>
      <c r="J329" s="407">
        <f t="shared" ca="1" si="1901"/>
        <v>0</v>
      </c>
      <c r="K329" s="408"/>
      <c r="L329" s="409"/>
      <c r="M329" s="409"/>
      <c r="N329" s="409"/>
      <c r="O329" s="409"/>
      <c r="P329" s="409"/>
      <c r="Q329" s="409"/>
      <c r="R329" s="409"/>
      <c r="S329" s="409"/>
      <c r="T329" s="409"/>
      <c r="U329" s="409"/>
      <c r="V329" s="410"/>
      <c r="W329" s="406">
        <f t="shared" ca="1" si="1714"/>
        <v>0</v>
      </c>
      <c r="X329" s="406"/>
      <c r="Y329" s="411"/>
      <c r="Z329" s="412">
        <f t="shared" ref="Z329" si="1926">CK329</f>
        <v>0</v>
      </c>
      <c r="AA329" s="413"/>
      <c r="AB329" s="413"/>
      <c r="AC329" s="413"/>
      <c r="AD329" s="413"/>
      <c r="AE329" s="413"/>
      <c r="AF329" s="413"/>
      <c r="AG329" s="413"/>
      <c r="AH329" s="413"/>
      <c r="AI329" s="413"/>
      <c r="AJ329" s="413"/>
      <c r="AK329" s="413"/>
      <c r="AL329" s="413"/>
      <c r="AM329" s="572"/>
      <c r="AN329" s="351" t="s">
        <v>472</v>
      </c>
      <c r="AO329" s="351" t="str">
        <f t="shared" si="1762"/>
        <v>Видеосеть</v>
      </c>
      <c r="AP329" s="115">
        <f t="shared" si="1544"/>
        <v>14</v>
      </c>
      <c r="AQ329" s="31">
        <f t="shared" ca="1" si="1903"/>
        <v>0.25</v>
      </c>
      <c r="AR329" s="31" t="str">
        <f t="shared" ca="1" si="1903"/>
        <v>Вкл.</v>
      </c>
      <c r="AS329" s="35">
        <v>0</v>
      </c>
      <c r="AT329" s="229">
        <v>0</v>
      </c>
      <c r="AU329" s="344">
        <f t="shared" ca="1" si="1904"/>
        <v>650</v>
      </c>
      <c r="AV329" s="345">
        <f t="shared" ca="1" si="1905"/>
        <v>650</v>
      </c>
      <c r="AW329" s="346">
        <f t="shared" ca="1" si="1906"/>
        <v>650</v>
      </c>
      <c r="AX329" s="280"/>
      <c r="AY329" s="280"/>
      <c r="AZ329" s="347">
        <f t="shared" ca="1" si="1907"/>
        <v>1625000</v>
      </c>
      <c r="BA329" s="348">
        <f t="shared" ca="1" si="1908"/>
        <v>1625000</v>
      </c>
      <c r="BB329" s="347">
        <f t="shared" ca="1" si="1909"/>
        <v>2500</v>
      </c>
      <c r="BC329" s="37" t="str">
        <f t="shared" ca="1" si="1909"/>
        <v>Пакет</v>
      </c>
      <c r="BD329" s="229" t="str">
        <f t="shared" ca="1" si="1910"/>
        <v>Пакет</v>
      </c>
      <c r="BE329" s="283">
        <f t="shared" ca="1" si="1763"/>
        <v>0</v>
      </c>
      <c r="BF329" s="347">
        <f t="array" aca="1" ref="BF329" ca="1">SUM($K329:$V329*$BK329:$BV329)*$AZ329</f>
        <v>0</v>
      </c>
      <c r="BG329" s="347">
        <f t="array" aca="1" ref="BG329" ca="1">SUM($K329:$V329*$BY329:$CJ329*$BK329:$BV329)*$AZ329*$BX329</f>
        <v>0</v>
      </c>
      <c r="BH329" s="347">
        <f t="array" aca="1" ref="BH329" ca="1">SUM($K329:$V329*$BY329:$CJ329*$BK329:$BV329)*(1-$BE329)*$AZ329*$BX329</f>
        <v>0</v>
      </c>
      <c r="BI329" s="350">
        <f t="shared" ca="1" si="1911"/>
        <v>0</v>
      </c>
      <c r="BJ329" s="275" t="str">
        <f t="shared" ca="1" si="1912"/>
        <v>Да</v>
      </c>
      <c r="BK329" s="116">
        <f t="shared" ca="1" si="1913"/>
        <v>0.8</v>
      </c>
      <c r="BL329" s="117">
        <f t="shared" ca="1" si="1913"/>
        <v>0.9</v>
      </c>
      <c r="BM329" s="117">
        <f t="shared" ca="1" si="1913"/>
        <v>1</v>
      </c>
      <c r="BN329" s="117">
        <f t="shared" ca="1" si="1913"/>
        <v>1</v>
      </c>
      <c r="BO329" s="117">
        <f t="shared" ca="1" si="1913"/>
        <v>1</v>
      </c>
      <c r="BP329" s="117">
        <f t="shared" ca="1" si="1913"/>
        <v>1</v>
      </c>
      <c r="BQ329" s="117">
        <f t="shared" ca="1" si="1913"/>
        <v>0.9</v>
      </c>
      <c r="BR329" s="117">
        <f t="shared" ca="1" si="1913"/>
        <v>0.9</v>
      </c>
      <c r="BS329" s="117">
        <f t="shared" ca="1" si="1913"/>
        <v>1.3</v>
      </c>
      <c r="BT329" s="117">
        <f t="shared" ca="1" si="1913"/>
        <v>1.3</v>
      </c>
      <c r="BU329" s="117">
        <f t="shared" ca="1" si="1913"/>
        <v>1.3</v>
      </c>
      <c r="BV329" s="278">
        <f t="shared" ca="1" si="1913"/>
        <v>1.3</v>
      </c>
      <c r="BW329" s="280">
        <f t="shared" si="1764"/>
        <v>3</v>
      </c>
      <c r="BX329" s="118">
        <f>IF($AN329="Ya",100%,100%+extraDelayZ)</f>
        <v>1</v>
      </c>
      <c r="BY329" s="263">
        <f t="shared" ref="BY329" si="1927">(1+AA329)</f>
        <v>1</v>
      </c>
      <c r="BZ329" s="264">
        <f t="shared" ref="BZ329" si="1928">(1+AB329)</f>
        <v>1</v>
      </c>
      <c r="CA329" s="264">
        <f t="shared" ref="CA329" si="1929">(1+AC329)</f>
        <v>1</v>
      </c>
      <c r="CB329" s="264">
        <f t="shared" ref="CB329" si="1930">(1+AD329)</f>
        <v>1</v>
      </c>
      <c r="CC329" s="264">
        <f t="shared" ref="CC329" si="1931">(1+AE329)</f>
        <v>1</v>
      </c>
      <c r="CD329" s="264">
        <f t="shared" ref="CD329" si="1932">(1+AF329)</f>
        <v>1</v>
      </c>
      <c r="CE329" s="264">
        <f t="shared" ref="CE329" si="1933">(1+AG329)</f>
        <v>1</v>
      </c>
      <c r="CF329" s="264">
        <f t="shared" ref="CF329" si="1934">(1+AH329)</f>
        <v>1</v>
      </c>
      <c r="CG329" s="264">
        <f t="shared" ref="CG329" si="1935">(1+AI329)</f>
        <v>1</v>
      </c>
      <c r="CH329" s="264">
        <f t="shared" ref="CH329" si="1936">(1+AJ329)</f>
        <v>1</v>
      </c>
      <c r="CI329" s="264">
        <f t="shared" ref="CI329" si="1937">(1+AK329)</f>
        <v>1</v>
      </c>
      <c r="CJ329" s="265">
        <f t="shared" ref="CJ329" si="1938">(1+AL329)</f>
        <v>1</v>
      </c>
      <c r="CK329" s="269">
        <f t="array" ref="CK329">IF(ISERROR(SUM($K329:$V329*$BY329:$CJ329)/SUM($K329:$V329)),1,SUM($K329:$V329*$BY329:$CJ329)/SUM($K329:$V329))-1</f>
        <v>0</v>
      </c>
      <c r="CL329" s="234"/>
    </row>
    <row r="330" spans="1:90" ht="12.75" hidden="1" outlineLevel="1" x14ac:dyDescent="0.2">
      <c r="B330" s="404" t="str">
        <f t="shared" ca="1" si="1893"/>
        <v>Пакет "Развлечения", Pre-roll 400x300</v>
      </c>
      <c r="C330" s="676" t="str">
        <f t="shared" ca="1" si="1894"/>
        <v>Пакет</v>
      </c>
      <c r="D330" s="405">
        <f t="shared" ca="1" si="1895"/>
        <v>700</v>
      </c>
      <c r="E330" s="405">
        <f t="shared" ca="1" si="1896"/>
        <v>700</v>
      </c>
      <c r="F330" s="405">
        <f t="shared" ca="1" si="1897"/>
        <v>700</v>
      </c>
      <c r="G330" s="406">
        <f t="shared" ca="1" si="1898"/>
        <v>1050000</v>
      </c>
      <c r="H330" s="406">
        <f t="shared" ca="1" si="1899"/>
        <v>1050000</v>
      </c>
      <c r="I330" s="406">
        <f t="shared" ca="1" si="1900"/>
        <v>0</v>
      </c>
      <c r="J330" s="407">
        <f t="shared" ca="1" si="1901"/>
        <v>0</v>
      </c>
      <c r="K330" s="408"/>
      <c r="L330" s="409"/>
      <c r="M330" s="409"/>
      <c r="N330" s="409"/>
      <c r="O330" s="409"/>
      <c r="P330" s="409"/>
      <c r="Q330" s="409"/>
      <c r="R330" s="409"/>
      <c r="S330" s="409"/>
      <c r="T330" s="409"/>
      <c r="U330" s="409"/>
      <c r="V330" s="410"/>
      <c r="W330" s="406">
        <f t="shared" ca="1" si="1714"/>
        <v>0</v>
      </c>
      <c r="X330" s="406"/>
      <c r="Y330" s="411"/>
      <c r="Z330" s="412">
        <f t="shared" ref="Z330" si="1939">CK330</f>
        <v>0</v>
      </c>
      <c r="AA330" s="413"/>
      <c r="AB330" s="413"/>
      <c r="AC330" s="413"/>
      <c r="AD330" s="413"/>
      <c r="AE330" s="413"/>
      <c r="AF330" s="413"/>
      <c r="AG330" s="413"/>
      <c r="AH330" s="413"/>
      <c r="AI330" s="413"/>
      <c r="AJ330" s="413"/>
      <c r="AK330" s="413"/>
      <c r="AL330" s="413"/>
      <c r="AM330" s="572"/>
      <c r="AN330" s="351" t="s">
        <v>472</v>
      </c>
      <c r="AO330" s="351" t="str">
        <f t="shared" si="1762"/>
        <v>Видеосеть</v>
      </c>
      <c r="AP330" s="115">
        <f t="shared" si="1544"/>
        <v>14</v>
      </c>
      <c r="AQ330" s="31">
        <f t="shared" ca="1" si="1903"/>
        <v>0.25</v>
      </c>
      <c r="AR330" s="31" t="str">
        <f t="shared" ca="1" si="1903"/>
        <v>Вкл.</v>
      </c>
      <c r="AS330" s="35">
        <v>0</v>
      </c>
      <c r="AT330" s="229">
        <v>0</v>
      </c>
      <c r="AU330" s="344">
        <f t="shared" ca="1" si="1904"/>
        <v>700</v>
      </c>
      <c r="AV330" s="345">
        <f t="shared" ca="1" si="1905"/>
        <v>700</v>
      </c>
      <c r="AW330" s="346">
        <f t="shared" ca="1" si="1906"/>
        <v>700</v>
      </c>
      <c r="AX330" s="280"/>
      <c r="AY330" s="280"/>
      <c r="AZ330" s="347">
        <f t="shared" ca="1" si="1907"/>
        <v>1050000</v>
      </c>
      <c r="BA330" s="348">
        <f t="shared" ca="1" si="1908"/>
        <v>1050000</v>
      </c>
      <c r="BB330" s="347">
        <f t="shared" ca="1" si="1909"/>
        <v>1500</v>
      </c>
      <c r="BC330" s="37" t="str">
        <f t="shared" ca="1" si="1909"/>
        <v>Пакет</v>
      </c>
      <c r="BD330" s="229" t="str">
        <f t="shared" ca="1" si="1910"/>
        <v>Пакет</v>
      </c>
      <c r="BE330" s="283">
        <f t="shared" ca="1" si="1763"/>
        <v>0</v>
      </c>
      <c r="BF330" s="347">
        <f t="array" aca="1" ref="BF330" ca="1">SUM($K330:$V330*$BK330:$BV330)*$AZ330</f>
        <v>0</v>
      </c>
      <c r="BG330" s="347">
        <f t="array" aca="1" ref="BG330" ca="1">SUM($K330:$V330*$BY330:$CJ330*$BK330:$BV330)*$AZ330*$BX330</f>
        <v>0</v>
      </c>
      <c r="BH330" s="347">
        <f t="array" aca="1" ref="BH330" ca="1">SUM($K330:$V330*$BY330:$CJ330*$BK330:$BV330)*(1-$BE330)*$AZ330*$BX330</f>
        <v>0</v>
      </c>
      <c r="BI330" s="350">
        <f t="shared" ca="1" si="1911"/>
        <v>0</v>
      </c>
      <c r="BJ330" s="275" t="str">
        <f t="shared" ca="1" si="1912"/>
        <v>Да</v>
      </c>
      <c r="BK330" s="116">
        <f t="shared" ca="1" si="1913"/>
        <v>0.8</v>
      </c>
      <c r="BL330" s="117">
        <f t="shared" ca="1" si="1913"/>
        <v>0.9</v>
      </c>
      <c r="BM330" s="117">
        <f t="shared" ca="1" si="1913"/>
        <v>1</v>
      </c>
      <c r="BN330" s="117">
        <f t="shared" ca="1" si="1913"/>
        <v>1</v>
      </c>
      <c r="BO330" s="117">
        <f t="shared" ca="1" si="1913"/>
        <v>1</v>
      </c>
      <c r="BP330" s="117">
        <f t="shared" ca="1" si="1913"/>
        <v>1</v>
      </c>
      <c r="BQ330" s="117">
        <f t="shared" ca="1" si="1913"/>
        <v>0.9</v>
      </c>
      <c r="BR330" s="117">
        <f t="shared" ca="1" si="1913"/>
        <v>0.9</v>
      </c>
      <c r="BS330" s="117">
        <f t="shared" ca="1" si="1913"/>
        <v>1.3</v>
      </c>
      <c r="BT330" s="117">
        <f t="shared" ca="1" si="1913"/>
        <v>1.3</v>
      </c>
      <c r="BU330" s="117">
        <f t="shared" ca="1" si="1913"/>
        <v>1.3</v>
      </c>
      <c r="BV330" s="278">
        <f t="shared" ca="1" si="1913"/>
        <v>1.3</v>
      </c>
      <c r="BW330" s="280">
        <f t="shared" si="1764"/>
        <v>4</v>
      </c>
      <c r="BX330" s="118">
        <f>IF($AN330="Ya",100%,100%+extraDelayZ)</f>
        <v>1</v>
      </c>
      <c r="BY330" s="263">
        <f t="shared" ref="BY330" si="1940">(1+AA330)</f>
        <v>1</v>
      </c>
      <c r="BZ330" s="264">
        <f t="shared" ref="BZ330" si="1941">(1+AB330)</f>
        <v>1</v>
      </c>
      <c r="CA330" s="264">
        <f t="shared" ref="CA330" si="1942">(1+AC330)</f>
        <v>1</v>
      </c>
      <c r="CB330" s="264">
        <f t="shared" ref="CB330" si="1943">(1+AD330)</f>
        <v>1</v>
      </c>
      <c r="CC330" s="264">
        <f t="shared" ref="CC330" si="1944">(1+AE330)</f>
        <v>1</v>
      </c>
      <c r="CD330" s="264">
        <f t="shared" ref="CD330" si="1945">(1+AF330)</f>
        <v>1</v>
      </c>
      <c r="CE330" s="264">
        <f t="shared" ref="CE330" si="1946">(1+AG330)</f>
        <v>1</v>
      </c>
      <c r="CF330" s="264">
        <f t="shared" ref="CF330" si="1947">(1+AH330)</f>
        <v>1</v>
      </c>
      <c r="CG330" s="264">
        <f t="shared" ref="CG330" si="1948">(1+AI330)</f>
        <v>1</v>
      </c>
      <c r="CH330" s="264">
        <f t="shared" ref="CH330" si="1949">(1+AJ330)</f>
        <v>1</v>
      </c>
      <c r="CI330" s="264">
        <f t="shared" ref="CI330" si="1950">(1+AK330)</f>
        <v>1</v>
      </c>
      <c r="CJ330" s="265">
        <f t="shared" ref="CJ330" si="1951">(1+AL330)</f>
        <v>1</v>
      </c>
      <c r="CK330" s="269">
        <f t="array" ref="CK330">IF(ISERROR(SUM($K330:$V330*$BY330:$CJ330)/SUM($K330:$V330)),1,SUM($K330:$V330*$BY330:$CJ330)/SUM($K330:$V330))-1</f>
        <v>0</v>
      </c>
      <c r="CL330" s="234"/>
    </row>
    <row r="331" spans="1:90" ht="12.75" hidden="1" outlineLevel="1" x14ac:dyDescent="0.2">
      <c r="B331" s="404" t="str">
        <f t="shared" ca="1" si="1893"/>
        <v>Пакет "Развлечения", Post-roll 400х300</v>
      </c>
      <c r="C331" s="676" t="str">
        <f t="shared" ca="1" si="1894"/>
        <v>Пакет</v>
      </c>
      <c r="D331" s="405">
        <f t="shared" ca="1" si="1895"/>
        <v>700</v>
      </c>
      <c r="E331" s="405">
        <f t="shared" ca="1" si="1896"/>
        <v>700</v>
      </c>
      <c r="F331" s="405">
        <f t="shared" ca="1" si="1897"/>
        <v>700</v>
      </c>
      <c r="G331" s="406">
        <f t="shared" ca="1" si="1898"/>
        <v>1050000</v>
      </c>
      <c r="H331" s="406">
        <f t="shared" ca="1" si="1899"/>
        <v>1050000</v>
      </c>
      <c r="I331" s="406">
        <f t="shared" ca="1" si="1900"/>
        <v>0</v>
      </c>
      <c r="J331" s="407">
        <f t="shared" ca="1" si="1901"/>
        <v>0</v>
      </c>
      <c r="K331" s="408"/>
      <c r="L331" s="409"/>
      <c r="M331" s="409"/>
      <c r="N331" s="409"/>
      <c r="O331" s="409"/>
      <c r="P331" s="409"/>
      <c r="Q331" s="409"/>
      <c r="R331" s="409"/>
      <c r="S331" s="409"/>
      <c r="T331" s="409"/>
      <c r="U331" s="409"/>
      <c r="V331" s="410"/>
      <c r="W331" s="406">
        <f t="shared" ca="1" si="1714"/>
        <v>0</v>
      </c>
      <c r="X331" s="406"/>
      <c r="Y331" s="411"/>
      <c r="Z331" s="412">
        <f t="shared" ref="Z331" si="1952">CK331</f>
        <v>0</v>
      </c>
      <c r="AA331" s="413"/>
      <c r="AB331" s="413"/>
      <c r="AC331" s="413"/>
      <c r="AD331" s="413"/>
      <c r="AE331" s="413"/>
      <c r="AF331" s="413"/>
      <c r="AG331" s="413"/>
      <c r="AH331" s="413"/>
      <c r="AI331" s="413"/>
      <c r="AJ331" s="413"/>
      <c r="AK331" s="413"/>
      <c r="AL331" s="413"/>
      <c r="AM331" s="572"/>
      <c r="AN331" s="351" t="s">
        <v>472</v>
      </c>
      <c r="AO331" s="351" t="str">
        <f t="shared" si="1762"/>
        <v>Видеосеть</v>
      </c>
      <c r="AP331" s="115">
        <f t="shared" ref="AP331:AP340" si="1953">COUNTIF($AN$10:$AN$353,$AN331)</f>
        <v>14</v>
      </c>
      <c r="AQ331" s="31">
        <f t="shared" ca="1" si="1903"/>
        <v>0.25</v>
      </c>
      <c r="AR331" s="31" t="str">
        <f t="shared" ca="1" si="1903"/>
        <v>Вкл.</v>
      </c>
      <c r="AS331" s="35">
        <v>0</v>
      </c>
      <c r="AT331" s="229">
        <v>0</v>
      </c>
      <c r="AU331" s="344">
        <f t="shared" ca="1" si="1904"/>
        <v>700</v>
      </c>
      <c r="AV331" s="345">
        <f t="shared" ca="1" si="1905"/>
        <v>700</v>
      </c>
      <c r="AW331" s="346">
        <f t="shared" ca="1" si="1906"/>
        <v>700</v>
      </c>
      <c r="AX331" s="280"/>
      <c r="AY331" s="280"/>
      <c r="AZ331" s="347">
        <f t="shared" ca="1" si="1907"/>
        <v>1050000</v>
      </c>
      <c r="BA331" s="348">
        <f t="shared" ca="1" si="1908"/>
        <v>1050000</v>
      </c>
      <c r="BB331" s="347">
        <f t="shared" ca="1" si="1909"/>
        <v>1500</v>
      </c>
      <c r="BC331" s="37" t="str">
        <f t="shared" ca="1" si="1909"/>
        <v>Пакет</v>
      </c>
      <c r="BD331" s="229" t="str">
        <f t="shared" ca="1" si="1910"/>
        <v>Пакет</v>
      </c>
      <c r="BE331" s="283">
        <f t="shared" ca="1" si="1763"/>
        <v>0</v>
      </c>
      <c r="BF331" s="347">
        <f t="array" aca="1" ref="BF331" ca="1">SUM($K331:$V331*$BK331:$BV331)*$AZ331</f>
        <v>0</v>
      </c>
      <c r="BG331" s="347">
        <f t="array" aca="1" ref="BG331" ca="1">SUM($K331:$V331*$BY331:$CJ331*$BK331:$BV331)*$AZ331*$BX331</f>
        <v>0</v>
      </c>
      <c r="BH331" s="347">
        <f t="array" aca="1" ref="BH331" ca="1">SUM($K331:$V331*$BY331:$CJ331*$BK331:$BV331)*(1-$BE331)*$AZ331*$BX331</f>
        <v>0</v>
      </c>
      <c r="BI331" s="350">
        <f t="shared" ca="1" si="1911"/>
        <v>0</v>
      </c>
      <c r="BJ331" s="275" t="str">
        <f t="shared" ca="1" si="1912"/>
        <v>Да</v>
      </c>
      <c r="BK331" s="116">
        <f t="shared" ca="1" si="1913"/>
        <v>0.8</v>
      </c>
      <c r="BL331" s="117">
        <f t="shared" ca="1" si="1913"/>
        <v>0.9</v>
      </c>
      <c r="BM331" s="117">
        <f t="shared" ca="1" si="1913"/>
        <v>1</v>
      </c>
      <c r="BN331" s="117">
        <f t="shared" ca="1" si="1913"/>
        <v>1</v>
      </c>
      <c r="BO331" s="117">
        <f t="shared" ca="1" si="1913"/>
        <v>1</v>
      </c>
      <c r="BP331" s="117">
        <f t="shared" ca="1" si="1913"/>
        <v>1</v>
      </c>
      <c r="BQ331" s="117">
        <f t="shared" ca="1" si="1913"/>
        <v>0.9</v>
      </c>
      <c r="BR331" s="117">
        <f t="shared" ca="1" si="1913"/>
        <v>0.9</v>
      </c>
      <c r="BS331" s="117">
        <f t="shared" ca="1" si="1913"/>
        <v>1.3</v>
      </c>
      <c r="BT331" s="117">
        <f t="shared" ca="1" si="1913"/>
        <v>1.3</v>
      </c>
      <c r="BU331" s="117">
        <f t="shared" ca="1" si="1913"/>
        <v>1.3</v>
      </c>
      <c r="BV331" s="278">
        <f t="shared" ca="1" si="1913"/>
        <v>1.3</v>
      </c>
      <c r="BW331" s="280">
        <f t="shared" si="1764"/>
        <v>5</v>
      </c>
      <c r="BX331" s="118">
        <f>IF($AN331="Ya",100%,100%+extraDelayZ)</f>
        <v>1</v>
      </c>
      <c r="BY331" s="263">
        <f t="shared" ref="BY331" si="1954">(1+AA331)</f>
        <v>1</v>
      </c>
      <c r="BZ331" s="264">
        <f t="shared" ref="BZ331" si="1955">(1+AB331)</f>
        <v>1</v>
      </c>
      <c r="CA331" s="264">
        <f t="shared" ref="CA331" si="1956">(1+AC331)</f>
        <v>1</v>
      </c>
      <c r="CB331" s="264">
        <f t="shared" ref="CB331" si="1957">(1+AD331)</f>
        <v>1</v>
      </c>
      <c r="CC331" s="264">
        <f t="shared" ref="CC331" si="1958">(1+AE331)</f>
        <v>1</v>
      </c>
      <c r="CD331" s="264">
        <f t="shared" ref="CD331" si="1959">(1+AF331)</f>
        <v>1</v>
      </c>
      <c r="CE331" s="264">
        <f t="shared" ref="CE331" si="1960">(1+AG331)</f>
        <v>1</v>
      </c>
      <c r="CF331" s="264">
        <f t="shared" ref="CF331" si="1961">(1+AH331)</f>
        <v>1</v>
      </c>
      <c r="CG331" s="264">
        <f t="shared" ref="CG331" si="1962">(1+AI331)</f>
        <v>1</v>
      </c>
      <c r="CH331" s="264">
        <f t="shared" ref="CH331" si="1963">(1+AJ331)</f>
        <v>1</v>
      </c>
      <c r="CI331" s="264">
        <f t="shared" ref="CI331" si="1964">(1+AK331)</f>
        <v>1</v>
      </c>
      <c r="CJ331" s="265">
        <f t="shared" ref="CJ331" si="1965">(1+AL331)</f>
        <v>1</v>
      </c>
      <c r="CK331" s="269">
        <f t="array" ref="CK331">IF(ISERROR(SUM($K331:$V331*$BY331:$CJ331)/SUM($K331:$V331)),1,SUM($K331:$V331*$BY331:$CJ331)/SUM($K331:$V331))-1</f>
        <v>0</v>
      </c>
      <c r="CL331" s="234"/>
    </row>
    <row r="332" spans="1:90" ht="12.75" hidden="1" outlineLevel="1" x14ac:dyDescent="0.2">
      <c r="B332" s="404" t="str">
        <f t="shared" ca="1" si="1893"/>
        <v>Пакет "Новости", Pre-roll 400x300</v>
      </c>
      <c r="C332" s="676" t="str">
        <f t="shared" ca="1" si="1894"/>
        <v>Пакет</v>
      </c>
      <c r="D332" s="405">
        <f t="shared" ca="1" si="1895"/>
        <v>700</v>
      </c>
      <c r="E332" s="405">
        <f t="shared" ca="1" si="1896"/>
        <v>700</v>
      </c>
      <c r="F332" s="405">
        <f t="shared" ca="1" si="1897"/>
        <v>700</v>
      </c>
      <c r="G332" s="406">
        <f t="shared" ca="1" si="1898"/>
        <v>700000</v>
      </c>
      <c r="H332" s="406">
        <f t="shared" ca="1" si="1899"/>
        <v>700000</v>
      </c>
      <c r="I332" s="406">
        <f t="shared" ca="1" si="1900"/>
        <v>0</v>
      </c>
      <c r="J332" s="407">
        <f t="shared" ca="1" si="1901"/>
        <v>0</v>
      </c>
      <c r="K332" s="408"/>
      <c r="L332" s="409"/>
      <c r="M332" s="409"/>
      <c r="N332" s="409"/>
      <c r="O332" s="409"/>
      <c r="P332" s="409"/>
      <c r="Q332" s="409"/>
      <c r="R332" s="409"/>
      <c r="S332" s="409"/>
      <c r="T332" s="409"/>
      <c r="U332" s="409"/>
      <c r="V332" s="410"/>
      <c r="W332" s="406">
        <f t="shared" ca="1" si="1714"/>
        <v>0</v>
      </c>
      <c r="X332" s="406"/>
      <c r="Y332" s="411"/>
      <c r="Z332" s="412">
        <f t="shared" ref="Z332" si="1966">CK332</f>
        <v>0</v>
      </c>
      <c r="AA332" s="413"/>
      <c r="AB332" s="413"/>
      <c r="AC332" s="413"/>
      <c r="AD332" s="413"/>
      <c r="AE332" s="413"/>
      <c r="AF332" s="413"/>
      <c r="AG332" s="413"/>
      <c r="AH332" s="413"/>
      <c r="AI332" s="413"/>
      <c r="AJ332" s="413"/>
      <c r="AK332" s="413"/>
      <c r="AL332" s="413"/>
      <c r="AM332" s="572"/>
      <c r="AN332" s="351" t="s">
        <v>472</v>
      </c>
      <c r="AO332" s="351" t="str">
        <f t="shared" si="1762"/>
        <v>Видеосеть</v>
      </c>
      <c r="AP332" s="115">
        <f t="shared" si="1953"/>
        <v>14</v>
      </c>
      <c r="AQ332" s="31">
        <f t="shared" ca="1" si="1903"/>
        <v>0.25</v>
      </c>
      <c r="AR332" s="31" t="str">
        <f t="shared" ca="1" si="1903"/>
        <v>Вкл.</v>
      </c>
      <c r="AS332" s="35">
        <v>0</v>
      </c>
      <c r="AT332" s="229">
        <v>0</v>
      </c>
      <c r="AU332" s="344">
        <f t="shared" ca="1" si="1904"/>
        <v>700</v>
      </c>
      <c r="AV332" s="345">
        <f t="shared" ca="1" si="1905"/>
        <v>700</v>
      </c>
      <c r="AW332" s="346">
        <f t="shared" ca="1" si="1906"/>
        <v>700</v>
      </c>
      <c r="AX332" s="280"/>
      <c r="AY332" s="280"/>
      <c r="AZ332" s="347">
        <f t="shared" ca="1" si="1907"/>
        <v>700000</v>
      </c>
      <c r="BA332" s="348">
        <f t="shared" ca="1" si="1908"/>
        <v>700000</v>
      </c>
      <c r="BB332" s="347">
        <f t="shared" ca="1" si="1909"/>
        <v>1000</v>
      </c>
      <c r="BC332" s="37" t="str">
        <f t="shared" ca="1" si="1909"/>
        <v>Пакет</v>
      </c>
      <c r="BD332" s="229" t="str">
        <f t="shared" ca="1" si="1910"/>
        <v>Пакет</v>
      </c>
      <c r="BE332" s="283">
        <f t="shared" ca="1" si="1763"/>
        <v>0</v>
      </c>
      <c r="BF332" s="347">
        <f t="array" aca="1" ref="BF332" ca="1">SUM($K332:$V332*$BK332:$BV332)*$AZ332</f>
        <v>0</v>
      </c>
      <c r="BG332" s="347">
        <f t="array" aca="1" ref="BG332" ca="1">SUM($K332:$V332*$BY332:$CJ332*$BK332:$BV332)*$AZ332*$BX332</f>
        <v>0</v>
      </c>
      <c r="BH332" s="347">
        <f t="array" aca="1" ref="BH332" ca="1">SUM($K332:$V332*$BY332:$CJ332*$BK332:$BV332)*(1-$BE332)*$AZ332*$BX332</f>
        <v>0</v>
      </c>
      <c r="BI332" s="350">
        <f t="shared" ca="1" si="1911"/>
        <v>0</v>
      </c>
      <c r="BJ332" s="275" t="str">
        <f t="shared" ca="1" si="1912"/>
        <v>Да</v>
      </c>
      <c r="BK332" s="116">
        <f t="shared" ca="1" si="1913"/>
        <v>0.8</v>
      </c>
      <c r="BL332" s="117">
        <f t="shared" ca="1" si="1913"/>
        <v>0.9</v>
      </c>
      <c r="BM332" s="117">
        <f t="shared" ca="1" si="1913"/>
        <v>1</v>
      </c>
      <c r="BN332" s="117">
        <f t="shared" ca="1" si="1913"/>
        <v>1</v>
      </c>
      <c r="BO332" s="117">
        <f t="shared" ca="1" si="1913"/>
        <v>1</v>
      </c>
      <c r="BP332" s="117">
        <f t="shared" ca="1" si="1913"/>
        <v>1</v>
      </c>
      <c r="BQ332" s="117">
        <f t="shared" ca="1" si="1913"/>
        <v>0.9</v>
      </c>
      <c r="BR332" s="117">
        <f t="shared" ca="1" si="1913"/>
        <v>0.9</v>
      </c>
      <c r="BS332" s="117">
        <f t="shared" ca="1" si="1913"/>
        <v>1.3</v>
      </c>
      <c r="BT332" s="117">
        <f t="shared" ca="1" si="1913"/>
        <v>1.3</v>
      </c>
      <c r="BU332" s="117">
        <f t="shared" ca="1" si="1913"/>
        <v>1.3</v>
      </c>
      <c r="BV332" s="278">
        <f t="shared" ca="1" si="1913"/>
        <v>1.3</v>
      </c>
      <c r="BW332" s="280">
        <f t="shared" si="1764"/>
        <v>6</v>
      </c>
      <c r="BX332" s="118">
        <f>IF($AN332="Ya",100%,100%+extraDelayZ)</f>
        <v>1</v>
      </c>
      <c r="BY332" s="263">
        <f t="shared" ref="BY332" si="1967">(1+AA332)</f>
        <v>1</v>
      </c>
      <c r="BZ332" s="264">
        <f t="shared" ref="BZ332" si="1968">(1+AB332)</f>
        <v>1</v>
      </c>
      <c r="CA332" s="264">
        <f t="shared" ref="CA332" si="1969">(1+AC332)</f>
        <v>1</v>
      </c>
      <c r="CB332" s="264">
        <f t="shared" ref="CB332" si="1970">(1+AD332)</f>
        <v>1</v>
      </c>
      <c r="CC332" s="264">
        <f t="shared" ref="CC332" si="1971">(1+AE332)</f>
        <v>1</v>
      </c>
      <c r="CD332" s="264">
        <f t="shared" ref="CD332" si="1972">(1+AF332)</f>
        <v>1</v>
      </c>
      <c r="CE332" s="264">
        <f t="shared" ref="CE332" si="1973">(1+AG332)</f>
        <v>1</v>
      </c>
      <c r="CF332" s="264">
        <f t="shared" ref="CF332" si="1974">(1+AH332)</f>
        <v>1</v>
      </c>
      <c r="CG332" s="264">
        <f t="shared" ref="CG332" si="1975">(1+AI332)</f>
        <v>1</v>
      </c>
      <c r="CH332" s="264">
        <f t="shared" ref="CH332" si="1976">(1+AJ332)</f>
        <v>1</v>
      </c>
      <c r="CI332" s="264">
        <f t="shared" ref="CI332" si="1977">(1+AK332)</f>
        <v>1</v>
      </c>
      <c r="CJ332" s="265">
        <f t="shared" ref="CJ332" si="1978">(1+AL332)</f>
        <v>1</v>
      </c>
      <c r="CK332" s="269">
        <f t="array" ref="CK332">IF(ISERROR(SUM($K332:$V332*$BY332:$CJ332)/SUM($K332:$V332)),1,SUM($K332:$V332*$BY332:$CJ332)/SUM($K332:$V332))-1</f>
        <v>0</v>
      </c>
      <c r="CL332" s="234"/>
    </row>
    <row r="333" spans="1:90" ht="12.75" hidden="1" outlineLevel="1" x14ac:dyDescent="0.2">
      <c r="B333" s="404" t="str">
        <f t="shared" ca="1" si="1893"/>
        <v>Пакет "Новости", Post-roll 400х300</v>
      </c>
      <c r="C333" s="676" t="str">
        <f t="shared" ca="1" si="1894"/>
        <v>Пакет</v>
      </c>
      <c r="D333" s="405">
        <f t="shared" ca="1" si="1895"/>
        <v>700</v>
      </c>
      <c r="E333" s="405">
        <f t="shared" ca="1" si="1896"/>
        <v>700</v>
      </c>
      <c r="F333" s="405">
        <f t="shared" ca="1" si="1897"/>
        <v>700</v>
      </c>
      <c r="G333" s="406">
        <f t="shared" ca="1" si="1898"/>
        <v>350000</v>
      </c>
      <c r="H333" s="406">
        <f t="shared" ca="1" si="1899"/>
        <v>350000</v>
      </c>
      <c r="I333" s="406">
        <f t="shared" ca="1" si="1900"/>
        <v>0</v>
      </c>
      <c r="J333" s="407">
        <f t="shared" ca="1" si="1901"/>
        <v>0</v>
      </c>
      <c r="K333" s="408"/>
      <c r="L333" s="409"/>
      <c r="M333" s="409"/>
      <c r="N333" s="409"/>
      <c r="O333" s="409"/>
      <c r="P333" s="409"/>
      <c r="Q333" s="409"/>
      <c r="R333" s="409"/>
      <c r="S333" s="409"/>
      <c r="T333" s="409"/>
      <c r="U333" s="409"/>
      <c r="V333" s="410"/>
      <c r="W333" s="406">
        <f t="shared" ca="1" si="1714"/>
        <v>0</v>
      </c>
      <c r="X333" s="406"/>
      <c r="Y333" s="411"/>
      <c r="Z333" s="412">
        <f t="shared" ref="Z333:Z338" si="1979">CK333</f>
        <v>0</v>
      </c>
      <c r="AA333" s="413"/>
      <c r="AB333" s="413"/>
      <c r="AC333" s="413"/>
      <c r="AD333" s="413"/>
      <c r="AE333" s="413"/>
      <c r="AF333" s="413"/>
      <c r="AG333" s="413"/>
      <c r="AH333" s="413"/>
      <c r="AI333" s="413"/>
      <c r="AJ333" s="413"/>
      <c r="AK333" s="413"/>
      <c r="AL333" s="413"/>
      <c r="AM333" s="572"/>
      <c r="AN333" s="351" t="s">
        <v>472</v>
      </c>
      <c r="AO333" s="351" t="str">
        <f t="shared" si="1762"/>
        <v>Видеосеть</v>
      </c>
      <c r="AP333" s="115">
        <f t="shared" si="1953"/>
        <v>14</v>
      </c>
      <c r="AQ333" s="31">
        <f t="shared" ca="1" si="1903"/>
        <v>0.25</v>
      </c>
      <c r="AR333" s="31" t="str">
        <f t="shared" ca="1" si="1903"/>
        <v>Вкл.</v>
      </c>
      <c r="AS333" s="35">
        <v>0</v>
      </c>
      <c r="AT333" s="229">
        <v>0</v>
      </c>
      <c r="AU333" s="344">
        <f t="shared" ca="1" si="1904"/>
        <v>700</v>
      </c>
      <c r="AV333" s="345">
        <f t="shared" ca="1" si="1905"/>
        <v>700</v>
      </c>
      <c r="AW333" s="346">
        <f t="shared" ca="1" si="1906"/>
        <v>700</v>
      </c>
      <c r="AX333" s="280"/>
      <c r="AY333" s="280"/>
      <c r="AZ333" s="347">
        <f t="shared" ca="1" si="1907"/>
        <v>350000</v>
      </c>
      <c r="BA333" s="348">
        <f t="shared" ca="1" si="1908"/>
        <v>350000</v>
      </c>
      <c r="BB333" s="347">
        <f t="shared" ca="1" si="1909"/>
        <v>500</v>
      </c>
      <c r="BC333" s="37" t="str">
        <f t="shared" ca="1" si="1909"/>
        <v>Пакет</v>
      </c>
      <c r="BD333" s="229" t="str">
        <f t="shared" ca="1" si="1910"/>
        <v>Пакет</v>
      </c>
      <c r="BE333" s="283">
        <f t="shared" ca="1" si="1763"/>
        <v>0</v>
      </c>
      <c r="BF333" s="347">
        <f t="array" aca="1" ref="BF333" ca="1">SUM($K333:$V333*$BK333:$BV333)*$AZ333</f>
        <v>0</v>
      </c>
      <c r="BG333" s="347">
        <f t="array" aca="1" ref="BG333" ca="1">SUM($K333:$V333*$BY333:$CJ333*$BK333:$BV333)*$AZ333*$BX333</f>
        <v>0</v>
      </c>
      <c r="BH333" s="347">
        <f t="array" aca="1" ref="BH333" ca="1">SUM($K333:$V333*$BY333:$CJ333*$BK333:$BV333)*(1-$BE333)*$AZ333*$BX333</f>
        <v>0</v>
      </c>
      <c r="BI333" s="350">
        <f t="shared" ca="1" si="1911"/>
        <v>0</v>
      </c>
      <c r="BJ333" s="275" t="str">
        <f t="shared" ca="1" si="1912"/>
        <v>Да</v>
      </c>
      <c r="BK333" s="116">
        <f t="shared" ca="1" si="1913"/>
        <v>0.8</v>
      </c>
      <c r="BL333" s="117">
        <f t="shared" ca="1" si="1913"/>
        <v>0.9</v>
      </c>
      <c r="BM333" s="117">
        <f t="shared" ca="1" si="1913"/>
        <v>1</v>
      </c>
      <c r="BN333" s="117">
        <f t="shared" ca="1" si="1913"/>
        <v>1</v>
      </c>
      <c r="BO333" s="117">
        <f t="shared" ca="1" si="1913"/>
        <v>1</v>
      </c>
      <c r="BP333" s="117">
        <f t="shared" ca="1" si="1913"/>
        <v>1</v>
      </c>
      <c r="BQ333" s="117">
        <f t="shared" ca="1" si="1913"/>
        <v>0.9</v>
      </c>
      <c r="BR333" s="117">
        <f t="shared" ca="1" si="1913"/>
        <v>0.9</v>
      </c>
      <c r="BS333" s="117">
        <f t="shared" ca="1" si="1913"/>
        <v>1.3</v>
      </c>
      <c r="BT333" s="117">
        <f t="shared" ca="1" si="1913"/>
        <v>1.3</v>
      </c>
      <c r="BU333" s="117">
        <f t="shared" ca="1" si="1913"/>
        <v>1.3</v>
      </c>
      <c r="BV333" s="278">
        <f t="shared" ca="1" si="1913"/>
        <v>1.3</v>
      </c>
      <c r="BW333" s="280">
        <f t="shared" si="1764"/>
        <v>7</v>
      </c>
      <c r="BX333" s="118">
        <f>IF($AN333="Ya",100%,100%+extraDelayZ)</f>
        <v>1</v>
      </c>
      <c r="BY333" s="263">
        <f t="shared" ref="BY333:BY338" si="1980">(1+AA333)</f>
        <v>1</v>
      </c>
      <c r="BZ333" s="264">
        <f t="shared" ref="BZ333:BZ338" si="1981">(1+AB333)</f>
        <v>1</v>
      </c>
      <c r="CA333" s="264">
        <f t="shared" ref="CA333:CA338" si="1982">(1+AC333)</f>
        <v>1</v>
      </c>
      <c r="CB333" s="264">
        <f t="shared" ref="CB333:CB338" si="1983">(1+AD333)</f>
        <v>1</v>
      </c>
      <c r="CC333" s="264">
        <f t="shared" ref="CC333:CC338" si="1984">(1+AE333)</f>
        <v>1</v>
      </c>
      <c r="CD333" s="264">
        <f t="shared" ref="CD333:CD338" si="1985">(1+AF333)</f>
        <v>1</v>
      </c>
      <c r="CE333" s="264">
        <f t="shared" ref="CE333:CE338" si="1986">(1+AG333)</f>
        <v>1</v>
      </c>
      <c r="CF333" s="264">
        <f t="shared" ref="CF333:CF338" si="1987">(1+AH333)</f>
        <v>1</v>
      </c>
      <c r="CG333" s="264">
        <f t="shared" ref="CG333:CG338" si="1988">(1+AI333)</f>
        <v>1</v>
      </c>
      <c r="CH333" s="264">
        <f t="shared" ref="CH333:CH338" si="1989">(1+AJ333)</f>
        <v>1</v>
      </c>
      <c r="CI333" s="264">
        <f t="shared" ref="CI333:CI338" si="1990">(1+AK333)</f>
        <v>1</v>
      </c>
      <c r="CJ333" s="265">
        <f t="shared" ref="CJ333:CJ338" si="1991">(1+AL333)</f>
        <v>1</v>
      </c>
      <c r="CK333" s="269">
        <f t="array" ref="CK333">IF(ISERROR(SUM($K333:$V333*$BY333:$CJ333)/SUM($K333:$V333)),1,SUM($K333:$V333*$BY333:$CJ333)/SUM($K333:$V333))-1</f>
        <v>0</v>
      </c>
      <c r="CL333" s="234"/>
    </row>
    <row r="334" spans="1:90" ht="12.75" hidden="1" outlineLevel="1" x14ac:dyDescent="0.2">
      <c r="B334" s="404" t="str">
        <f ca="1">INDEX(INDIRECT(LOWER($AN334)&amp;"Price"),$BW334,2)</f>
        <v>Пакет "Спорт", Pre-roll 400x300</v>
      </c>
      <c r="C334" s="676" t="str">
        <f ca="1">$BD334</f>
        <v>Пакет</v>
      </c>
      <c r="D334" s="405">
        <f ca="1">$AU334</f>
        <v>700</v>
      </c>
      <c r="E334" s="405">
        <f ca="1">$AV334</f>
        <v>700</v>
      </c>
      <c r="F334" s="405">
        <f ca="1">$AW334</f>
        <v>700</v>
      </c>
      <c r="G334" s="406">
        <f ca="1">$AZ334</f>
        <v>350000</v>
      </c>
      <c r="H334" s="406">
        <f ca="1">$BA334</f>
        <v>350000</v>
      </c>
      <c r="I334" s="406">
        <f ca="1">$BG334</f>
        <v>0</v>
      </c>
      <c r="J334" s="407">
        <f ca="1">$BH334</f>
        <v>0</v>
      </c>
      <c r="K334" s="408"/>
      <c r="L334" s="409"/>
      <c r="M334" s="409"/>
      <c r="N334" s="409"/>
      <c r="O334" s="409"/>
      <c r="P334" s="409"/>
      <c r="Q334" s="409"/>
      <c r="R334" s="409"/>
      <c r="S334" s="409"/>
      <c r="T334" s="409"/>
      <c r="U334" s="409"/>
      <c r="V334" s="410"/>
      <c r="W334" s="406">
        <f ca="1">$BI334</f>
        <v>0</v>
      </c>
      <c r="X334" s="406"/>
      <c r="Y334" s="411"/>
      <c r="Z334" s="412">
        <f>CK334</f>
        <v>0</v>
      </c>
      <c r="AA334" s="413"/>
      <c r="AB334" s="413"/>
      <c r="AC334" s="413"/>
      <c r="AD334" s="413"/>
      <c r="AE334" s="413"/>
      <c r="AF334" s="413"/>
      <c r="AG334" s="413"/>
      <c r="AH334" s="413"/>
      <c r="AI334" s="413"/>
      <c r="AJ334" s="413"/>
      <c r="AK334" s="413"/>
      <c r="AL334" s="413"/>
      <c r="AM334" s="572"/>
      <c r="AN334" s="351" t="s">
        <v>472</v>
      </c>
      <c r="AO334" s="351" t="str">
        <f>INDEX(indSiteX,MATCH($AN334,indPrefixX,0))</f>
        <v>Видеосеть</v>
      </c>
      <c r="AP334" s="115">
        <f t="shared" si="1953"/>
        <v>14</v>
      </c>
      <c r="AQ334" s="31">
        <f ca="1">HLOOKUP(AQ$10,INDIRECT(LOWER($AN334)&amp;"Price"),$BW334,FALSE)</f>
        <v>0.25</v>
      </c>
      <c r="AR334" s="31" t="str">
        <f ca="1">HLOOKUP(AR$10,INDIRECT(LOWER($AN334)&amp;"Price"),$BW334,FALSE)</f>
        <v>Вкл.</v>
      </c>
      <c r="AS334" s="35">
        <v>0</v>
      </c>
      <c r="AT334" s="229">
        <v>0</v>
      </c>
      <c r="AU334" s="344">
        <f ca="1">HLOOKUP(AU$10,INDIRECT(LOWER($AN334)&amp;"Price"),$BW334,FALSE)</f>
        <v>700</v>
      </c>
      <c r="AV334" s="345">
        <f ca="1">IF(ISERROR($BG334/$BI334),$AU334,$BG334/$BI334)</f>
        <v>700</v>
      </c>
      <c r="AW334" s="346">
        <f ca="1">$AV334*(1-$BE334)</f>
        <v>700</v>
      </c>
      <c r="AX334" s="280"/>
      <c r="AY334" s="280"/>
      <c r="AZ334" s="347">
        <f ca="1">HLOOKUP(AZ$10,INDIRECT(LOWER($AN334)&amp;"Price"),$BW334,FALSE)</f>
        <v>350000</v>
      </c>
      <c r="BA334" s="348">
        <f ca="1">$AZ334*(1-$BE334)</f>
        <v>350000</v>
      </c>
      <c r="BB334" s="347">
        <f ca="1">HLOOKUP(BB$10,INDIRECT(LOWER($AN334)&amp;"Price"),$BW334,FALSE)</f>
        <v>500</v>
      </c>
      <c r="BC334" s="37" t="str">
        <f ca="1">HLOOKUP(BC$10,INDIRECT(LOWER($AN334)&amp;"Price"),$BW334,FALSE)</f>
        <v>Пакет</v>
      </c>
      <c r="BD334" s="229" t="str">
        <f ca="1">IF(ISERROR(VLOOKUP($BC334,typeIndexPair,2,FALSE)),"",VLOOKUP($BC334,typeIndexPair,2,FALSE))</f>
        <v>Пакет</v>
      </c>
      <c r="BE334" s="283">
        <f ca="1">INDEX(indDiscZX,MATCH($AN334,indPrefixX,0))</f>
        <v>0</v>
      </c>
      <c r="BF334" s="347">
        <f t="array" aca="1" ref="BF334" ca="1">SUM($K334:$V334*$BK334:$BV334)*$AZ334</f>
        <v>0</v>
      </c>
      <c r="BG334" s="347">
        <f t="array" aca="1" ref="BG334" ca="1">SUM($K334:$V334*$BY334:$CJ334*$BK334:$BV334)*$AZ334*$BX334</f>
        <v>0</v>
      </c>
      <c r="BH334" s="347">
        <f t="array" aca="1" ref="BH334" ca="1">SUM($K334:$V334*$BY334:$CJ334*$BK334:$BV334)*(1-$BE334)*$AZ334*$BX334</f>
        <v>0</v>
      </c>
      <c r="BI334" s="350">
        <f ca="1">SUM($K334:$V334)*$BB334</f>
        <v>0</v>
      </c>
      <c r="BJ334" s="275" t="str">
        <f ca="1">IF(ISERROR(HLOOKUP(BJ$10,INDIRECT(LOWER($AN334)&amp;"Price"),$BW334,FALSE)),"Да",HLOOKUP(BJ$10,INDIRECT(LOWER($AN334)&amp;"Price"),$BW334,FALSE))</f>
        <v>Да</v>
      </c>
      <c r="BK334" s="116">
        <f t="shared" ref="BK334:BV334" ca="1" si="1992">IF($BJ334="Особ.",INDEX(INDIRECT(LOWER($AN334)&amp;"Season2"),BK$9),IF($BJ334="Да",INDEX(INDIRECT(LOWER($AN334)&amp;"Season"),BK$9),100%))</f>
        <v>0.8</v>
      </c>
      <c r="BL334" s="117">
        <f t="shared" ca="1" si="1992"/>
        <v>0.9</v>
      </c>
      <c r="BM334" s="117">
        <f t="shared" ca="1" si="1992"/>
        <v>1</v>
      </c>
      <c r="BN334" s="117">
        <f t="shared" ca="1" si="1992"/>
        <v>1</v>
      </c>
      <c r="BO334" s="117">
        <f t="shared" ca="1" si="1992"/>
        <v>1</v>
      </c>
      <c r="BP334" s="117">
        <f t="shared" ca="1" si="1992"/>
        <v>1</v>
      </c>
      <c r="BQ334" s="117">
        <f t="shared" ca="1" si="1992"/>
        <v>0.9</v>
      </c>
      <c r="BR334" s="117">
        <f t="shared" ca="1" si="1992"/>
        <v>0.9</v>
      </c>
      <c r="BS334" s="117">
        <f t="shared" ca="1" si="1992"/>
        <v>1.3</v>
      </c>
      <c r="BT334" s="117">
        <f t="shared" ca="1" si="1992"/>
        <v>1.3</v>
      </c>
      <c r="BU334" s="117">
        <f t="shared" ca="1" si="1992"/>
        <v>1.3</v>
      </c>
      <c r="BV334" s="278">
        <f t="shared" ca="1" si="1992"/>
        <v>1.3</v>
      </c>
      <c r="BW334" s="280">
        <f>ROW()-MATCH($AO334,resList,0)+1</f>
        <v>8</v>
      </c>
      <c r="BX334" s="118">
        <f>IF($AN334="Ya",100%,100%+extraDelayZ)</f>
        <v>1</v>
      </c>
      <c r="BY334" s="263">
        <f t="shared" ref="BY334:CJ334" si="1993">(1+AA334)</f>
        <v>1</v>
      </c>
      <c r="BZ334" s="264">
        <f t="shared" si="1993"/>
        <v>1</v>
      </c>
      <c r="CA334" s="264">
        <f t="shared" si="1993"/>
        <v>1</v>
      </c>
      <c r="CB334" s="264">
        <f t="shared" si="1993"/>
        <v>1</v>
      </c>
      <c r="CC334" s="264">
        <f t="shared" si="1993"/>
        <v>1</v>
      </c>
      <c r="CD334" s="264">
        <f t="shared" si="1993"/>
        <v>1</v>
      </c>
      <c r="CE334" s="264">
        <f t="shared" si="1993"/>
        <v>1</v>
      </c>
      <c r="CF334" s="264">
        <f t="shared" si="1993"/>
        <v>1</v>
      </c>
      <c r="CG334" s="264">
        <f t="shared" si="1993"/>
        <v>1</v>
      </c>
      <c r="CH334" s="264">
        <f t="shared" si="1993"/>
        <v>1</v>
      </c>
      <c r="CI334" s="264">
        <f t="shared" si="1993"/>
        <v>1</v>
      </c>
      <c r="CJ334" s="265">
        <f t="shared" si="1993"/>
        <v>1</v>
      </c>
      <c r="CK334" s="269">
        <f t="array" ref="CK334">IF(ISERROR(SUM($K334:$V334*$BY334:$CJ334)/SUM($K334:$V334)),1,SUM($K334:$V334*$BY334:$CJ334)/SUM($K334:$V334))-1</f>
        <v>0</v>
      </c>
      <c r="CL334" s="234"/>
    </row>
    <row r="335" spans="1:90" ht="12.75" hidden="1" outlineLevel="1" x14ac:dyDescent="0.2">
      <c r="B335" s="404" t="str">
        <f t="shared" ca="1" si="1893"/>
        <v>Пакет "Спорт", Post-roll 400x300</v>
      </c>
      <c r="C335" s="676" t="str">
        <f t="shared" ca="1" si="1894"/>
        <v>Пакет</v>
      </c>
      <c r="D335" s="405">
        <f t="shared" ca="1" si="1895"/>
        <v>700</v>
      </c>
      <c r="E335" s="405">
        <f t="shared" ca="1" si="1896"/>
        <v>700</v>
      </c>
      <c r="F335" s="405">
        <f t="shared" ca="1" si="1897"/>
        <v>700</v>
      </c>
      <c r="G335" s="406">
        <f t="shared" ca="1" si="1898"/>
        <v>210000</v>
      </c>
      <c r="H335" s="406">
        <f t="shared" ca="1" si="1899"/>
        <v>210000</v>
      </c>
      <c r="I335" s="406">
        <f t="shared" ca="1" si="1900"/>
        <v>0</v>
      </c>
      <c r="J335" s="407">
        <f t="shared" ca="1" si="1901"/>
        <v>0</v>
      </c>
      <c r="K335" s="408"/>
      <c r="L335" s="409"/>
      <c r="M335" s="409"/>
      <c r="N335" s="409"/>
      <c r="O335" s="409"/>
      <c r="P335" s="409"/>
      <c r="Q335" s="409"/>
      <c r="R335" s="409"/>
      <c r="S335" s="409"/>
      <c r="T335" s="409"/>
      <c r="U335" s="409"/>
      <c r="V335" s="410"/>
      <c r="W335" s="406">
        <f t="shared" ca="1" si="1714"/>
        <v>0</v>
      </c>
      <c r="X335" s="406"/>
      <c r="Y335" s="411"/>
      <c r="Z335" s="412">
        <f t="shared" ref="Z335" si="1994">CK335</f>
        <v>0</v>
      </c>
      <c r="AA335" s="413"/>
      <c r="AB335" s="413"/>
      <c r="AC335" s="413"/>
      <c r="AD335" s="413"/>
      <c r="AE335" s="413"/>
      <c r="AF335" s="413"/>
      <c r="AG335" s="413"/>
      <c r="AH335" s="413"/>
      <c r="AI335" s="413"/>
      <c r="AJ335" s="413"/>
      <c r="AK335" s="413"/>
      <c r="AL335" s="413"/>
      <c r="AM335" s="572"/>
      <c r="AN335" s="351" t="s">
        <v>472</v>
      </c>
      <c r="AO335" s="351" t="str">
        <f t="shared" si="1762"/>
        <v>Видеосеть</v>
      </c>
      <c r="AP335" s="115">
        <f t="shared" si="1953"/>
        <v>14</v>
      </c>
      <c r="AQ335" s="31">
        <f t="shared" ca="1" si="1903"/>
        <v>0.25</v>
      </c>
      <c r="AR335" s="31" t="str">
        <f t="shared" ca="1" si="1903"/>
        <v>Вкл.</v>
      </c>
      <c r="AS335" s="35">
        <v>0</v>
      </c>
      <c r="AT335" s="229">
        <v>0</v>
      </c>
      <c r="AU335" s="344">
        <f t="shared" ca="1" si="1904"/>
        <v>700</v>
      </c>
      <c r="AV335" s="345">
        <f t="shared" ca="1" si="1905"/>
        <v>700</v>
      </c>
      <c r="AW335" s="346">
        <f t="shared" ca="1" si="1906"/>
        <v>700</v>
      </c>
      <c r="AX335" s="280"/>
      <c r="AY335" s="280"/>
      <c r="AZ335" s="347">
        <f t="shared" ca="1" si="1907"/>
        <v>210000</v>
      </c>
      <c r="BA335" s="348">
        <f t="shared" ca="1" si="1908"/>
        <v>210000</v>
      </c>
      <c r="BB335" s="347">
        <f t="shared" ca="1" si="1909"/>
        <v>300</v>
      </c>
      <c r="BC335" s="37" t="str">
        <f t="shared" ca="1" si="1909"/>
        <v>Пакет</v>
      </c>
      <c r="BD335" s="229" t="str">
        <f t="shared" ca="1" si="1910"/>
        <v>Пакет</v>
      </c>
      <c r="BE335" s="283">
        <f t="shared" ca="1" si="1763"/>
        <v>0</v>
      </c>
      <c r="BF335" s="347">
        <f t="array" aca="1" ref="BF335" ca="1">SUM($K335:$V335*$BK335:$BV335)*$AZ335</f>
        <v>0</v>
      </c>
      <c r="BG335" s="347">
        <f t="array" aca="1" ref="BG335" ca="1">SUM($K335:$V335*$BY335:$CJ335*$BK335:$BV335)*$AZ335*$BX335</f>
        <v>0</v>
      </c>
      <c r="BH335" s="347">
        <f t="array" aca="1" ref="BH335" ca="1">SUM($K335:$V335*$BY335:$CJ335*$BK335:$BV335)*(1-$BE335)*$AZ335*$BX335</f>
        <v>0</v>
      </c>
      <c r="BI335" s="350">
        <f t="shared" ca="1" si="1911"/>
        <v>0</v>
      </c>
      <c r="BJ335" s="275" t="str">
        <f t="shared" ca="1" si="1912"/>
        <v>Да</v>
      </c>
      <c r="BK335" s="116">
        <f t="shared" ca="1" si="1913"/>
        <v>0.8</v>
      </c>
      <c r="BL335" s="117">
        <f t="shared" ca="1" si="1913"/>
        <v>0.9</v>
      </c>
      <c r="BM335" s="117">
        <f t="shared" ca="1" si="1913"/>
        <v>1</v>
      </c>
      <c r="BN335" s="117">
        <f t="shared" ca="1" si="1913"/>
        <v>1</v>
      </c>
      <c r="BO335" s="117">
        <f t="shared" ca="1" si="1913"/>
        <v>1</v>
      </c>
      <c r="BP335" s="117">
        <f t="shared" ca="1" si="1913"/>
        <v>1</v>
      </c>
      <c r="BQ335" s="117">
        <f t="shared" ca="1" si="1913"/>
        <v>0.9</v>
      </c>
      <c r="BR335" s="117">
        <f t="shared" ca="1" si="1913"/>
        <v>0.9</v>
      </c>
      <c r="BS335" s="117">
        <f t="shared" ca="1" si="1913"/>
        <v>1.3</v>
      </c>
      <c r="BT335" s="117">
        <f t="shared" ca="1" si="1913"/>
        <v>1.3</v>
      </c>
      <c r="BU335" s="117">
        <f t="shared" ca="1" si="1913"/>
        <v>1.3</v>
      </c>
      <c r="BV335" s="278">
        <f t="shared" ca="1" si="1913"/>
        <v>1.3</v>
      </c>
      <c r="BW335" s="280">
        <f t="shared" si="1764"/>
        <v>9</v>
      </c>
      <c r="BX335" s="118">
        <f>IF($AN335="Ya",100%,100%+extraDelayZ)</f>
        <v>1</v>
      </c>
      <c r="BY335" s="263">
        <f t="shared" ref="BY335" si="1995">(1+AA335)</f>
        <v>1</v>
      </c>
      <c r="BZ335" s="264">
        <f t="shared" ref="BZ335" si="1996">(1+AB335)</f>
        <v>1</v>
      </c>
      <c r="CA335" s="264">
        <f t="shared" ref="CA335" si="1997">(1+AC335)</f>
        <v>1</v>
      </c>
      <c r="CB335" s="264">
        <f t="shared" ref="CB335" si="1998">(1+AD335)</f>
        <v>1</v>
      </c>
      <c r="CC335" s="264">
        <f t="shared" ref="CC335" si="1999">(1+AE335)</f>
        <v>1</v>
      </c>
      <c r="CD335" s="264">
        <f t="shared" ref="CD335" si="2000">(1+AF335)</f>
        <v>1</v>
      </c>
      <c r="CE335" s="264">
        <f t="shared" ref="CE335" si="2001">(1+AG335)</f>
        <v>1</v>
      </c>
      <c r="CF335" s="264">
        <f t="shared" ref="CF335" si="2002">(1+AH335)</f>
        <v>1</v>
      </c>
      <c r="CG335" s="264">
        <f t="shared" ref="CG335" si="2003">(1+AI335)</f>
        <v>1</v>
      </c>
      <c r="CH335" s="264">
        <f t="shared" ref="CH335" si="2004">(1+AJ335)</f>
        <v>1</v>
      </c>
      <c r="CI335" s="264">
        <f t="shared" ref="CI335" si="2005">(1+AK335)</f>
        <v>1</v>
      </c>
      <c r="CJ335" s="265">
        <f t="shared" ref="CJ335" si="2006">(1+AL335)</f>
        <v>1</v>
      </c>
      <c r="CK335" s="269">
        <f t="array" ref="CK335">IF(ISERROR(SUM($K335:$V335*$BY335:$CJ335)/SUM($K335:$V335)),1,SUM($K335:$V335*$BY335:$CJ335)/SUM($K335:$V335))-1</f>
        <v>0</v>
      </c>
      <c r="CL335" s="234"/>
    </row>
    <row r="336" spans="1:90" ht="12.75" hidden="1" outlineLevel="1" x14ac:dyDescent="0.2">
      <c r="B336" s="404" t="str">
        <f ca="1">INDEX(INDIRECT(LOWER($AN336)&amp;"Price"),$BW336,2)</f>
        <v>Пакет "Женщины", Pre-roll 400x300</v>
      </c>
      <c r="C336" s="676" t="str">
        <f ca="1">$BD336</f>
        <v>Пакет</v>
      </c>
      <c r="D336" s="405">
        <f ca="1">$AU336</f>
        <v>700</v>
      </c>
      <c r="E336" s="405">
        <f ca="1">$AV336</f>
        <v>700</v>
      </c>
      <c r="F336" s="405">
        <f ca="1">$AW336</f>
        <v>700</v>
      </c>
      <c r="G336" s="406">
        <f ca="1">$AZ336</f>
        <v>1750000</v>
      </c>
      <c r="H336" s="406">
        <f ca="1">$BA336</f>
        <v>1750000</v>
      </c>
      <c r="I336" s="406">
        <f ca="1">$BG336</f>
        <v>0</v>
      </c>
      <c r="J336" s="407">
        <f ca="1">$BH336</f>
        <v>0</v>
      </c>
      <c r="K336" s="408"/>
      <c r="L336" s="409"/>
      <c r="M336" s="409"/>
      <c r="N336" s="409"/>
      <c r="O336" s="409"/>
      <c r="P336" s="409"/>
      <c r="Q336" s="409"/>
      <c r="R336" s="409"/>
      <c r="S336" s="409"/>
      <c r="T336" s="409"/>
      <c r="U336" s="409"/>
      <c r="V336" s="410"/>
      <c r="W336" s="406">
        <f ca="1">$BI336</f>
        <v>0</v>
      </c>
      <c r="X336" s="406"/>
      <c r="Y336" s="411"/>
      <c r="Z336" s="412">
        <f>CK336</f>
        <v>0</v>
      </c>
      <c r="AA336" s="413"/>
      <c r="AB336" s="413"/>
      <c r="AC336" s="413"/>
      <c r="AD336" s="413"/>
      <c r="AE336" s="413"/>
      <c r="AF336" s="413"/>
      <c r="AG336" s="413"/>
      <c r="AH336" s="413"/>
      <c r="AI336" s="413"/>
      <c r="AJ336" s="413"/>
      <c r="AK336" s="413"/>
      <c r="AL336" s="413"/>
      <c r="AM336" s="572"/>
      <c r="AN336" s="351" t="s">
        <v>472</v>
      </c>
      <c r="AO336" s="351" t="str">
        <f>INDEX(indSiteX,MATCH($AN336,indPrefixX,0))</f>
        <v>Видеосеть</v>
      </c>
      <c r="AP336" s="115">
        <f t="shared" si="1953"/>
        <v>14</v>
      </c>
      <c r="AQ336" s="31">
        <f ca="1">HLOOKUP(AQ$10,INDIRECT(LOWER($AN336)&amp;"Price"),$BW336,FALSE)</f>
        <v>0.25</v>
      </c>
      <c r="AR336" s="31" t="str">
        <f ca="1">HLOOKUP(AR$10,INDIRECT(LOWER($AN336)&amp;"Price"),$BW336,FALSE)</f>
        <v>Вкл.</v>
      </c>
      <c r="AS336" s="35">
        <v>0</v>
      </c>
      <c r="AT336" s="229">
        <v>0</v>
      </c>
      <c r="AU336" s="344">
        <f ca="1">HLOOKUP(AU$10,INDIRECT(LOWER($AN336)&amp;"Price"),$BW336,FALSE)</f>
        <v>700</v>
      </c>
      <c r="AV336" s="345">
        <f ca="1">IF(ISERROR($BG336/$BI336),$AU336,$BG336/$BI336)</f>
        <v>700</v>
      </c>
      <c r="AW336" s="346">
        <f ca="1">$AV336*(1-$BE336)</f>
        <v>700</v>
      </c>
      <c r="AX336" s="280"/>
      <c r="AY336" s="280"/>
      <c r="AZ336" s="347">
        <f ca="1">HLOOKUP(AZ$10,INDIRECT(LOWER($AN336)&amp;"Price"),$BW336,FALSE)</f>
        <v>1750000</v>
      </c>
      <c r="BA336" s="348">
        <f ca="1">$AZ336*(1-$BE336)</f>
        <v>1750000</v>
      </c>
      <c r="BB336" s="347">
        <f ca="1">HLOOKUP(BB$10,INDIRECT(LOWER($AN336)&amp;"Price"),$BW336,FALSE)</f>
        <v>2500</v>
      </c>
      <c r="BC336" s="37" t="str">
        <f ca="1">HLOOKUP(BC$10,INDIRECT(LOWER($AN336)&amp;"Price"),$BW336,FALSE)</f>
        <v>Пакет</v>
      </c>
      <c r="BD336" s="229" t="str">
        <f ca="1">IF(ISERROR(VLOOKUP($BC336,typeIndexPair,2,FALSE)),"",VLOOKUP($BC336,typeIndexPair,2,FALSE))</f>
        <v>Пакет</v>
      </c>
      <c r="BE336" s="283">
        <f ca="1">INDEX(indDiscZX,MATCH($AN336,indPrefixX,0))</f>
        <v>0</v>
      </c>
      <c r="BF336" s="347">
        <f t="array" aca="1" ref="BF336" ca="1">SUM($K336:$V336*$BK336:$BV336)*$AZ336</f>
        <v>0</v>
      </c>
      <c r="BG336" s="347">
        <f t="array" aca="1" ref="BG336" ca="1">SUM($K336:$V336*$BY336:$CJ336*$BK336:$BV336)*$AZ336*$BX336</f>
        <v>0</v>
      </c>
      <c r="BH336" s="347">
        <f t="array" aca="1" ref="BH336" ca="1">SUM($K336:$V336*$BY336:$CJ336*$BK336:$BV336)*(1-$BE336)*$AZ336*$BX336</f>
        <v>0</v>
      </c>
      <c r="BI336" s="350">
        <f ca="1">SUM($K336:$V336)*$BB336</f>
        <v>0</v>
      </c>
      <c r="BJ336" s="275" t="str">
        <f ca="1">IF(ISERROR(HLOOKUP(BJ$10,INDIRECT(LOWER($AN336)&amp;"Price"),$BW336,FALSE)),"Да",HLOOKUP(BJ$10,INDIRECT(LOWER($AN336)&amp;"Price"),$BW336,FALSE))</f>
        <v>Да</v>
      </c>
      <c r="BK336" s="116">
        <f t="shared" ref="BK336:BV336" ca="1" si="2007">IF($BJ336="Особ.",INDEX(INDIRECT(LOWER($AN336)&amp;"Season2"),BK$9),IF($BJ336="Да",INDEX(INDIRECT(LOWER($AN336)&amp;"Season"),BK$9),100%))</f>
        <v>0.8</v>
      </c>
      <c r="BL336" s="117">
        <f t="shared" ca="1" si="2007"/>
        <v>0.9</v>
      </c>
      <c r="BM336" s="117">
        <f t="shared" ca="1" si="2007"/>
        <v>1</v>
      </c>
      <c r="BN336" s="117">
        <f t="shared" ca="1" si="2007"/>
        <v>1</v>
      </c>
      <c r="BO336" s="117">
        <f t="shared" ca="1" si="2007"/>
        <v>1</v>
      </c>
      <c r="BP336" s="117">
        <f t="shared" ca="1" si="2007"/>
        <v>1</v>
      </c>
      <c r="BQ336" s="117">
        <f t="shared" ca="1" si="2007"/>
        <v>0.9</v>
      </c>
      <c r="BR336" s="117">
        <f t="shared" ca="1" si="2007"/>
        <v>0.9</v>
      </c>
      <c r="BS336" s="117">
        <f t="shared" ca="1" si="2007"/>
        <v>1.3</v>
      </c>
      <c r="BT336" s="117">
        <f t="shared" ca="1" si="2007"/>
        <v>1.3</v>
      </c>
      <c r="BU336" s="117">
        <f t="shared" ca="1" si="2007"/>
        <v>1.3</v>
      </c>
      <c r="BV336" s="278">
        <f t="shared" ca="1" si="2007"/>
        <v>1.3</v>
      </c>
      <c r="BW336" s="280">
        <f>ROW()-MATCH($AO336,resList,0)+1</f>
        <v>10</v>
      </c>
      <c r="BX336" s="118">
        <f>IF($AN336="Ya",100%,100%+extraDelayZ)</f>
        <v>1</v>
      </c>
      <c r="BY336" s="263">
        <f t="shared" ref="BY336:CJ336" si="2008">(1+AA336)</f>
        <v>1</v>
      </c>
      <c r="BZ336" s="264">
        <f t="shared" si="2008"/>
        <v>1</v>
      </c>
      <c r="CA336" s="264">
        <f t="shared" si="2008"/>
        <v>1</v>
      </c>
      <c r="CB336" s="264">
        <f t="shared" si="2008"/>
        <v>1</v>
      </c>
      <c r="CC336" s="264">
        <f t="shared" si="2008"/>
        <v>1</v>
      </c>
      <c r="CD336" s="264">
        <f t="shared" si="2008"/>
        <v>1</v>
      </c>
      <c r="CE336" s="264">
        <f t="shared" si="2008"/>
        <v>1</v>
      </c>
      <c r="CF336" s="264">
        <f t="shared" si="2008"/>
        <v>1</v>
      </c>
      <c r="CG336" s="264">
        <f t="shared" si="2008"/>
        <v>1</v>
      </c>
      <c r="CH336" s="264">
        <f t="shared" si="2008"/>
        <v>1</v>
      </c>
      <c r="CI336" s="264">
        <f t="shared" si="2008"/>
        <v>1</v>
      </c>
      <c r="CJ336" s="265">
        <f t="shared" si="2008"/>
        <v>1</v>
      </c>
      <c r="CK336" s="269">
        <f t="array" ref="CK336">IF(ISERROR(SUM($K336:$V336*$BY336:$CJ336)/SUM($K336:$V336)),1,SUM($K336:$V336*$BY336:$CJ336)/SUM($K336:$V336))-1</f>
        <v>0</v>
      </c>
      <c r="CL336" s="234"/>
    </row>
    <row r="337" spans="1:90" ht="12.75" hidden="1" outlineLevel="1" x14ac:dyDescent="0.2">
      <c r="B337" s="404" t="str">
        <f t="shared" ca="1" si="1893"/>
        <v>Пакет "Женщины", Post-roll 400x300</v>
      </c>
      <c r="C337" s="676" t="str">
        <f t="shared" ca="1" si="1894"/>
        <v>Пакет</v>
      </c>
      <c r="D337" s="405">
        <f t="shared" ca="1" si="1895"/>
        <v>700</v>
      </c>
      <c r="E337" s="405">
        <f t="shared" ca="1" si="1896"/>
        <v>700</v>
      </c>
      <c r="F337" s="405">
        <f t="shared" ca="1" si="1897"/>
        <v>700</v>
      </c>
      <c r="G337" s="406">
        <f t="shared" ca="1" si="1898"/>
        <v>1050000</v>
      </c>
      <c r="H337" s="406">
        <f t="shared" ca="1" si="1899"/>
        <v>1050000</v>
      </c>
      <c r="I337" s="406">
        <f t="shared" ca="1" si="1900"/>
        <v>0</v>
      </c>
      <c r="J337" s="407">
        <f t="shared" ca="1" si="1901"/>
        <v>0</v>
      </c>
      <c r="K337" s="408"/>
      <c r="L337" s="409"/>
      <c r="M337" s="409"/>
      <c r="N337" s="409"/>
      <c r="O337" s="409"/>
      <c r="P337" s="409"/>
      <c r="Q337" s="409"/>
      <c r="R337" s="409"/>
      <c r="S337" s="409"/>
      <c r="T337" s="409"/>
      <c r="U337" s="409"/>
      <c r="V337" s="410"/>
      <c r="W337" s="406">
        <f t="shared" ca="1" si="1714"/>
        <v>0</v>
      </c>
      <c r="X337" s="406"/>
      <c r="Y337" s="411"/>
      <c r="Z337" s="412">
        <f t="shared" si="1979"/>
        <v>0</v>
      </c>
      <c r="AA337" s="413"/>
      <c r="AB337" s="413"/>
      <c r="AC337" s="413"/>
      <c r="AD337" s="413"/>
      <c r="AE337" s="413"/>
      <c r="AF337" s="413"/>
      <c r="AG337" s="413"/>
      <c r="AH337" s="413"/>
      <c r="AI337" s="413"/>
      <c r="AJ337" s="413"/>
      <c r="AK337" s="413"/>
      <c r="AL337" s="413"/>
      <c r="AM337" s="572"/>
      <c r="AN337" s="351" t="s">
        <v>472</v>
      </c>
      <c r="AO337" s="351" t="str">
        <f t="shared" si="1762"/>
        <v>Видеосеть</v>
      </c>
      <c r="AP337" s="115">
        <f t="shared" si="1953"/>
        <v>14</v>
      </c>
      <c r="AQ337" s="31">
        <f t="shared" ca="1" si="1903"/>
        <v>0.25</v>
      </c>
      <c r="AR337" s="31" t="str">
        <f t="shared" ca="1" si="1903"/>
        <v>Вкл.</v>
      </c>
      <c r="AS337" s="35">
        <v>0</v>
      </c>
      <c r="AT337" s="229">
        <v>0</v>
      </c>
      <c r="AU337" s="344">
        <f t="shared" ca="1" si="1904"/>
        <v>700</v>
      </c>
      <c r="AV337" s="345">
        <f t="shared" ca="1" si="1905"/>
        <v>700</v>
      </c>
      <c r="AW337" s="346">
        <f t="shared" ca="1" si="1906"/>
        <v>700</v>
      </c>
      <c r="AX337" s="280"/>
      <c r="AY337" s="280"/>
      <c r="AZ337" s="347">
        <f t="shared" ca="1" si="1907"/>
        <v>1050000</v>
      </c>
      <c r="BA337" s="348">
        <f t="shared" ca="1" si="1908"/>
        <v>1050000</v>
      </c>
      <c r="BB337" s="347">
        <f t="shared" ca="1" si="1909"/>
        <v>1500</v>
      </c>
      <c r="BC337" s="37" t="str">
        <f t="shared" ca="1" si="1909"/>
        <v>Пакет</v>
      </c>
      <c r="BD337" s="229" t="str">
        <f t="shared" ca="1" si="1910"/>
        <v>Пакет</v>
      </c>
      <c r="BE337" s="283">
        <f t="shared" ca="1" si="1763"/>
        <v>0</v>
      </c>
      <c r="BF337" s="347">
        <f t="array" aca="1" ref="BF337" ca="1">SUM($K337:$V337*$BK337:$BV337)*$AZ337</f>
        <v>0</v>
      </c>
      <c r="BG337" s="347">
        <f t="array" aca="1" ref="BG337" ca="1">SUM($K337:$V337*$BY337:$CJ337*$BK337:$BV337)*$AZ337*$BX337</f>
        <v>0</v>
      </c>
      <c r="BH337" s="347">
        <f t="array" aca="1" ref="BH337" ca="1">SUM($K337:$V337*$BY337:$CJ337*$BK337:$BV337)*(1-$BE337)*$AZ337*$BX337</f>
        <v>0</v>
      </c>
      <c r="BI337" s="350">
        <f t="shared" ca="1" si="1911"/>
        <v>0</v>
      </c>
      <c r="BJ337" s="275" t="str">
        <f t="shared" ca="1" si="1912"/>
        <v>Да</v>
      </c>
      <c r="BK337" s="116">
        <f t="shared" ca="1" si="1913"/>
        <v>0.8</v>
      </c>
      <c r="BL337" s="117">
        <f t="shared" ca="1" si="1913"/>
        <v>0.9</v>
      </c>
      <c r="BM337" s="117">
        <f t="shared" ca="1" si="1913"/>
        <v>1</v>
      </c>
      <c r="BN337" s="117">
        <f t="shared" ca="1" si="1913"/>
        <v>1</v>
      </c>
      <c r="BO337" s="117">
        <f t="shared" ca="1" si="1913"/>
        <v>1</v>
      </c>
      <c r="BP337" s="117">
        <f t="shared" ca="1" si="1913"/>
        <v>1</v>
      </c>
      <c r="BQ337" s="117">
        <f t="shared" ca="1" si="1913"/>
        <v>0.9</v>
      </c>
      <c r="BR337" s="117">
        <f t="shared" ca="1" si="1913"/>
        <v>0.9</v>
      </c>
      <c r="BS337" s="117">
        <f t="shared" ca="1" si="1913"/>
        <v>1.3</v>
      </c>
      <c r="BT337" s="117">
        <f t="shared" ca="1" si="1913"/>
        <v>1.3</v>
      </c>
      <c r="BU337" s="117">
        <f t="shared" ca="1" si="1913"/>
        <v>1.3</v>
      </c>
      <c r="BV337" s="278">
        <f t="shared" ca="1" si="1913"/>
        <v>1.3</v>
      </c>
      <c r="BW337" s="280">
        <f t="shared" si="1764"/>
        <v>11</v>
      </c>
      <c r="BX337" s="118">
        <f>IF($AN337="Ya",100%,100%+extraDelayZ)</f>
        <v>1</v>
      </c>
      <c r="BY337" s="263">
        <f t="shared" si="1980"/>
        <v>1</v>
      </c>
      <c r="BZ337" s="264">
        <f t="shared" si="1981"/>
        <v>1</v>
      </c>
      <c r="CA337" s="264">
        <f t="shared" si="1982"/>
        <v>1</v>
      </c>
      <c r="CB337" s="264">
        <f t="shared" si="1983"/>
        <v>1</v>
      </c>
      <c r="CC337" s="264">
        <f t="shared" si="1984"/>
        <v>1</v>
      </c>
      <c r="CD337" s="264">
        <f t="shared" si="1985"/>
        <v>1</v>
      </c>
      <c r="CE337" s="264">
        <f t="shared" si="1986"/>
        <v>1</v>
      </c>
      <c r="CF337" s="264">
        <f t="shared" si="1987"/>
        <v>1</v>
      </c>
      <c r="CG337" s="264">
        <f t="shared" si="1988"/>
        <v>1</v>
      </c>
      <c r="CH337" s="264">
        <f t="shared" si="1989"/>
        <v>1</v>
      </c>
      <c r="CI337" s="264">
        <f t="shared" si="1990"/>
        <v>1</v>
      </c>
      <c r="CJ337" s="265">
        <f t="shared" si="1991"/>
        <v>1</v>
      </c>
      <c r="CK337" s="269">
        <f t="array" ref="CK337">IF(ISERROR(SUM($K337:$V337*$BY337:$CJ337)/SUM($K337:$V337)),1,SUM($K337:$V337*$BY337:$CJ337)/SUM($K337:$V337))-1</f>
        <v>0</v>
      </c>
      <c r="CL337" s="234"/>
    </row>
    <row r="338" spans="1:90" ht="12.75" hidden="1" outlineLevel="1" x14ac:dyDescent="0.2">
      <c r="B338" s="404" t="str">
        <f t="shared" ca="1" si="1893"/>
        <v>Пакет "Мужчины", Pre-roll 400x300</v>
      </c>
      <c r="C338" s="676" t="str">
        <f t="shared" ca="1" si="1894"/>
        <v>Пакет</v>
      </c>
      <c r="D338" s="405">
        <f t="shared" ca="1" si="1895"/>
        <v>700</v>
      </c>
      <c r="E338" s="405">
        <f t="shared" ca="1" si="1896"/>
        <v>700</v>
      </c>
      <c r="F338" s="405">
        <f t="shared" ca="1" si="1897"/>
        <v>700</v>
      </c>
      <c r="G338" s="406">
        <f t="shared" ca="1" si="1898"/>
        <v>1750000</v>
      </c>
      <c r="H338" s="406">
        <f t="shared" ca="1" si="1899"/>
        <v>1750000</v>
      </c>
      <c r="I338" s="406">
        <f t="shared" ca="1" si="1900"/>
        <v>0</v>
      </c>
      <c r="J338" s="407">
        <f t="shared" ca="1" si="1901"/>
        <v>0</v>
      </c>
      <c r="K338" s="408"/>
      <c r="L338" s="409"/>
      <c r="M338" s="409"/>
      <c r="N338" s="409"/>
      <c r="O338" s="409"/>
      <c r="P338" s="409"/>
      <c r="Q338" s="409"/>
      <c r="R338" s="409"/>
      <c r="S338" s="409"/>
      <c r="T338" s="409"/>
      <c r="U338" s="409"/>
      <c r="V338" s="410"/>
      <c r="W338" s="406">
        <f t="shared" ca="1" si="1714"/>
        <v>0</v>
      </c>
      <c r="X338" s="406"/>
      <c r="Y338" s="411"/>
      <c r="Z338" s="412">
        <f t="shared" si="1979"/>
        <v>0</v>
      </c>
      <c r="AA338" s="413"/>
      <c r="AB338" s="413"/>
      <c r="AC338" s="413"/>
      <c r="AD338" s="413"/>
      <c r="AE338" s="413"/>
      <c r="AF338" s="413"/>
      <c r="AG338" s="413"/>
      <c r="AH338" s="413"/>
      <c r="AI338" s="413"/>
      <c r="AJ338" s="413"/>
      <c r="AK338" s="413"/>
      <c r="AL338" s="413"/>
      <c r="AM338" s="572"/>
      <c r="AN338" s="351" t="s">
        <v>472</v>
      </c>
      <c r="AO338" s="351" t="str">
        <f t="shared" si="1762"/>
        <v>Видеосеть</v>
      </c>
      <c r="AP338" s="115">
        <f t="shared" si="1953"/>
        <v>14</v>
      </c>
      <c r="AQ338" s="31">
        <f t="shared" ca="1" si="1903"/>
        <v>0.25</v>
      </c>
      <c r="AR338" s="31" t="str">
        <f t="shared" ca="1" si="1903"/>
        <v>Вкл.</v>
      </c>
      <c r="AS338" s="35">
        <v>0</v>
      </c>
      <c r="AT338" s="229">
        <v>0</v>
      </c>
      <c r="AU338" s="344">
        <f t="shared" ca="1" si="1904"/>
        <v>700</v>
      </c>
      <c r="AV338" s="345">
        <f t="shared" ca="1" si="1905"/>
        <v>700</v>
      </c>
      <c r="AW338" s="346">
        <f t="shared" ca="1" si="1906"/>
        <v>700</v>
      </c>
      <c r="AX338" s="280"/>
      <c r="AY338" s="280"/>
      <c r="AZ338" s="347">
        <f t="shared" ca="1" si="1907"/>
        <v>1750000</v>
      </c>
      <c r="BA338" s="348">
        <f t="shared" ca="1" si="1908"/>
        <v>1750000</v>
      </c>
      <c r="BB338" s="347">
        <f t="shared" ca="1" si="1909"/>
        <v>2500</v>
      </c>
      <c r="BC338" s="37" t="str">
        <f t="shared" ca="1" si="1909"/>
        <v>Пакет</v>
      </c>
      <c r="BD338" s="229" t="str">
        <f t="shared" ca="1" si="1910"/>
        <v>Пакет</v>
      </c>
      <c r="BE338" s="283">
        <f t="shared" ca="1" si="1763"/>
        <v>0</v>
      </c>
      <c r="BF338" s="347">
        <f t="array" aca="1" ref="BF338" ca="1">SUM($K338:$V338*$BK338:$BV338)*$AZ338</f>
        <v>0</v>
      </c>
      <c r="BG338" s="347">
        <f t="array" aca="1" ref="BG338" ca="1">SUM($K338:$V338*$BY338:$CJ338*$BK338:$BV338)*$AZ338*$BX338</f>
        <v>0</v>
      </c>
      <c r="BH338" s="347">
        <f t="array" aca="1" ref="BH338" ca="1">SUM($K338:$V338*$BY338:$CJ338*$BK338:$BV338)*(1-$BE338)*$AZ338*$BX338</f>
        <v>0</v>
      </c>
      <c r="BI338" s="350">
        <f t="shared" ca="1" si="1911"/>
        <v>0</v>
      </c>
      <c r="BJ338" s="275" t="str">
        <f t="shared" ca="1" si="1912"/>
        <v>Да</v>
      </c>
      <c r="BK338" s="116">
        <f t="shared" ca="1" si="1913"/>
        <v>0.8</v>
      </c>
      <c r="BL338" s="117">
        <f t="shared" ca="1" si="1913"/>
        <v>0.9</v>
      </c>
      <c r="BM338" s="117">
        <f t="shared" ca="1" si="1913"/>
        <v>1</v>
      </c>
      <c r="BN338" s="117">
        <f t="shared" ca="1" si="1913"/>
        <v>1</v>
      </c>
      <c r="BO338" s="117">
        <f t="shared" ca="1" si="1913"/>
        <v>1</v>
      </c>
      <c r="BP338" s="117">
        <f t="shared" ca="1" si="1913"/>
        <v>1</v>
      </c>
      <c r="BQ338" s="117">
        <f t="shared" ca="1" si="1913"/>
        <v>0.9</v>
      </c>
      <c r="BR338" s="117">
        <f t="shared" ca="1" si="1913"/>
        <v>0.9</v>
      </c>
      <c r="BS338" s="117">
        <f t="shared" ca="1" si="1913"/>
        <v>1.3</v>
      </c>
      <c r="BT338" s="117">
        <f t="shared" ca="1" si="1913"/>
        <v>1.3</v>
      </c>
      <c r="BU338" s="117">
        <f t="shared" ca="1" si="1913"/>
        <v>1.3</v>
      </c>
      <c r="BV338" s="278">
        <f t="shared" ca="1" si="1913"/>
        <v>1.3</v>
      </c>
      <c r="BW338" s="280">
        <f t="shared" si="1764"/>
        <v>12</v>
      </c>
      <c r="BX338" s="118">
        <f>IF($AN338="Ya",100%,100%+extraDelayZ)</f>
        <v>1</v>
      </c>
      <c r="BY338" s="263">
        <f t="shared" si="1980"/>
        <v>1</v>
      </c>
      <c r="BZ338" s="264">
        <f t="shared" si="1981"/>
        <v>1</v>
      </c>
      <c r="CA338" s="264">
        <f t="shared" si="1982"/>
        <v>1</v>
      </c>
      <c r="CB338" s="264">
        <f t="shared" si="1983"/>
        <v>1</v>
      </c>
      <c r="CC338" s="264">
        <f t="shared" si="1984"/>
        <v>1</v>
      </c>
      <c r="CD338" s="264">
        <f t="shared" si="1985"/>
        <v>1</v>
      </c>
      <c r="CE338" s="264">
        <f t="shared" si="1986"/>
        <v>1</v>
      </c>
      <c r="CF338" s="264">
        <f t="shared" si="1987"/>
        <v>1</v>
      </c>
      <c r="CG338" s="264">
        <f t="shared" si="1988"/>
        <v>1</v>
      </c>
      <c r="CH338" s="264">
        <f t="shared" si="1989"/>
        <v>1</v>
      </c>
      <c r="CI338" s="264">
        <f t="shared" si="1990"/>
        <v>1</v>
      </c>
      <c r="CJ338" s="265">
        <f t="shared" si="1991"/>
        <v>1</v>
      </c>
      <c r="CK338" s="269">
        <f t="array" ref="CK338">IF(ISERROR(SUM($K338:$V338*$BY338:$CJ338)/SUM($K338:$V338)),1,SUM($K338:$V338*$BY338:$CJ338)/SUM($K338:$V338))-1</f>
        <v>0</v>
      </c>
      <c r="CL338" s="234"/>
    </row>
    <row r="339" spans="1:90" ht="12.75" hidden="1" outlineLevel="1" x14ac:dyDescent="0.2">
      <c r="B339" s="404" t="str">
        <f ca="1">INDEX(INDIRECT(LOWER($AN339)&amp;"Price"),$BW339,2)</f>
        <v>Пакет "Мужчины", Post-roll 400x300</v>
      </c>
      <c r="C339" s="676" t="str">
        <f ca="1">$BD339</f>
        <v>Пакет</v>
      </c>
      <c r="D339" s="405">
        <f ca="1">$AU339</f>
        <v>700</v>
      </c>
      <c r="E339" s="405">
        <f ca="1">$AV339</f>
        <v>700</v>
      </c>
      <c r="F339" s="405">
        <f ca="1">$AW339</f>
        <v>700</v>
      </c>
      <c r="G339" s="406">
        <f ca="1">$AZ339</f>
        <v>1050000</v>
      </c>
      <c r="H339" s="406">
        <f ca="1">$BA339</f>
        <v>1050000</v>
      </c>
      <c r="I339" s="406">
        <f ca="1">$BG339</f>
        <v>0</v>
      </c>
      <c r="J339" s="407">
        <f ca="1">$BH339</f>
        <v>0</v>
      </c>
      <c r="K339" s="408"/>
      <c r="L339" s="409"/>
      <c r="M339" s="409"/>
      <c r="N339" s="409"/>
      <c r="O339" s="409"/>
      <c r="P339" s="409"/>
      <c r="Q339" s="409"/>
      <c r="R339" s="409"/>
      <c r="S339" s="409"/>
      <c r="T339" s="409"/>
      <c r="U339" s="409"/>
      <c r="V339" s="410"/>
      <c r="W339" s="406">
        <f ca="1">$BI339</f>
        <v>0</v>
      </c>
      <c r="X339" s="406"/>
      <c r="Y339" s="411"/>
      <c r="Z339" s="412">
        <f>CK339</f>
        <v>0</v>
      </c>
      <c r="AA339" s="413"/>
      <c r="AB339" s="413"/>
      <c r="AC339" s="413"/>
      <c r="AD339" s="413"/>
      <c r="AE339" s="413"/>
      <c r="AF339" s="413"/>
      <c r="AG339" s="413"/>
      <c r="AH339" s="413"/>
      <c r="AI339" s="413"/>
      <c r="AJ339" s="413"/>
      <c r="AK339" s="413"/>
      <c r="AL339" s="413"/>
      <c r="AM339" s="572"/>
      <c r="AN339" s="351" t="s">
        <v>472</v>
      </c>
      <c r="AO339" s="351" t="str">
        <f>INDEX(indSiteX,MATCH($AN339,indPrefixX,0))</f>
        <v>Видеосеть</v>
      </c>
      <c r="AP339" s="115">
        <f t="shared" si="1953"/>
        <v>14</v>
      </c>
      <c r="AQ339" s="31">
        <f ca="1">HLOOKUP(AQ$10,INDIRECT(LOWER($AN339)&amp;"Price"),$BW339,FALSE)</f>
        <v>0.25</v>
      </c>
      <c r="AR339" s="31" t="str">
        <f ca="1">HLOOKUP(AR$10,INDIRECT(LOWER($AN339)&amp;"Price"),$BW339,FALSE)</f>
        <v>Вкл.</v>
      </c>
      <c r="AS339" s="35">
        <v>0</v>
      </c>
      <c r="AT339" s="229">
        <v>0</v>
      </c>
      <c r="AU339" s="344">
        <f ca="1">HLOOKUP(AU$10,INDIRECT(LOWER($AN339)&amp;"Price"),$BW339,FALSE)</f>
        <v>700</v>
      </c>
      <c r="AV339" s="345">
        <f ca="1">IF(ISERROR($BG339/$BI339),$AU339,$BG339/$BI339)</f>
        <v>700</v>
      </c>
      <c r="AW339" s="346">
        <f ca="1">$AV339*(1-$BE339)</f>
        <v>700</v>
      </c>
      <c r="AX339" s="280"/>
      <c r="AY339" s="280"/>
      <c r="AZ339" s="347">
        <f ca="1">HLOOKUP(AZ$10,INDIRECT(LOWER($AN339)&amp;"Price"),$BW339,FALSE)</f>
        <v>1050000</v>
      </c>
      <c r="BA339" s="348">
        <f ca="1">$AZ339*(1-$BE339)</f>
        <v>1050000</v>
      </c>
      <c r="BB339" s="347">
        <f ca="1">HLOOKUP(BB$10,INDIRECT(LOWER($AN339)&amp;"Price"),$BW339,FALSE)</f>
        <v>1500</v>
      </c>
      <c r="BC339" s="37" t="str">
        <f ca="1">HLOOKUP(BC$10,INDIRECT(LOWER($AN339)&amp;"Price"),$BW339,FALSE)</f>
        <v>Пакет</v>
      </c>
      <c r="BD339" s="229" t="str">
        <f ca="1">IF(ISERROR(VLOOKUP($BC339,typeIndexPair,2,FALSE)),"",VLOOKUP($BC339,typeIndexPair,2,FALSE))</f>
        <v>Пакет</v>
      </c>
      <c r="BE339" s="283">
        <f ca="1">INDEX(indDiscZX,MATCH($AN339,indPrefixX,0))</f>
        <v>0</v>
      </c>
      <c r="BF339" s="347">
        <f t="array" aca="1" ref="BF339" ca="1">SUM($K339:$V339*$BK339:$BV339)*$AZ339</f>
        <v>0</v>
      </c>
      <c r="BG339" s="347">
        <f t="array" aca="1" ref="BG339" ca="1">SUM($K339:$V339*$BY339:$CJ339*$BK339:$BV339)*$AZ339*$BX339</f>
        <v>0</v>
      </c>
      <c r="BH339" s="347">
        <f t="array" aca="1" ref="BH339" ca="1">SUM($K339:$V339*$BY339:$CJ339*$BK339:$BV339)*(1-$BE339)*$AZ339*$BX339</f>
        <v>0</v>
      </c>
      <c r="BI339" s="350">
        <f ca="1">SUM($K339:$V339)*$BB339</f>
        <v>0</v>
      </c>
      <c r="BJ339" s="275" t="str">
        <f ca="1">IF(ISERROR(HLOOKUP(BJ$10,INDIRECT(LOWER($AN339)&amp;"Price"),$BW339,FALSE)),"Да",HLOOKUP(BJ$10,INDIRECT(LOWER($AN339)&amp;"Price"),$BW339,FALSE))</f>
        <v>Да</v>
      </c>
      <c r="BK339" s="116">
        <f t="shared" ref="BK339:BV339" ca="1" si="2009">IF($BJ339="Особ.",INDEX(INDIRECT(LOWER($AN339)&amp;"Season2"),BK$9),IF($BJ339="Да",INDEX(INDIRECT(LOWER($AN339)&amp;"Season"),BK$9),100%))</f>
        <v>0.8</v>
      </c>
      <c r="BL339" s="117">
        <f t="shared" ca="1" si="2009"/>
        <v>0.9</v>
      </c>
      <c r="BM339" s="117">
        <f t="shared" ca="1" si="2009"/>
        <v>1</v>
      </c>
      <c r="BN339" s="117">
        <f t="shared" ca="1" si="2009"/>
        <v>1</v>
      </c>
      <c r="BO339" s="117">
        <f t="shared" ca="1" si="2009"/>
        <v>1</v>
      </c>
      <c r="BP339" s="117">
        <f t="shared" ca="1" si="2009"/>
        <v>1</v>
      </c>
      <c r="BQ339" s="117">
        <f t="shared" ca="1" si="2009"/>
        <v>0.9</v>
      </c>
      <c r="BR339" s="117">
        <f t="shared" ca="1" si="2009"/>
        <v>0.9</v>
      </c>
      <c r="BS339" s="117">
        <f t="shared" ca="1" si="2009"/>
        <v>1.3</v>
      </c>
      <c r="BT339" s="117">
        <f t="shared" ca="1" si="2009"/>
        <v>1.3</v>
      </c>
      <c r="BU339" s="117">
        <f t="shared" ca="1" si="2009"/>
        <v>1.3</v>
      </c>
      <c r="BV339" s="278">
        <f t="shared" ca="1" si="2009"/>
        <v>1.3</v>
      </c>
      <c r="BW339" s="280">
        <f>ROW()-MATCH($AO339,resList,0)+1</f>
        <v>13</v>
      </c>
      <c r="BX339" s="118">
        <f>IF($AN339="Ya",100%,100%+extraDelayZ)</f>
        <v>1</v>
      </c>
      <c r="BY339" s="263">
        <f t="shared" ref="BY339:CJ339" si="2010">(1+AA339)</f>
        <v>1</v>
      </c>
      <c r="BZ339" s="264">
        <f t="shared" si="2010"/>
        <v>1</v>
      </c>
      <c r="CA339" s="264">
        <f t="shared" si="2010"/>
        <v>1</v>
      </c>
      <c r="CB339" s="264">
        <f t="shared" si="2010"/>
        <v>1</v>
      </c>
      <c r="CC339" s="264">
        <f t="shared" si="2010"/>
        <v>1</v>
      </c>
      <c r="CD339" s="264">
        <f t="shared" si="2010"/>
        <v>1</v>
      </c>
      <c r="CE339" s="264">
        <f t="shared" si="2010"/>
        <v>1</v>
      </c>
      <c r="CF339" s="264">
        <f t="shared" si="2010"/>
        <v>1</v>
      </c>
      <c r="CG339" s="264">
        <f t="shared" si="2010"/>
        <v>1</v>
      </c>
      <c r="CH339" s="264">
        <f t="shared" si="2010"/>
        <v>1</v>
      </c>
      <c r="CI339" s="264">
        <f t="shared" si="2010"/>
        <v>1</v>
      </c>
      <c r="CJ339" s="265">
        <f t="shared" si="2010"/>
        <v>1</v>
      </c>
      <c r="CK339" s="269">
        <f t="array" ref="CK339">IF(ISERROR(SUM($K339:$V339*$BY339:$CJ339)/SUM($K339:$V339)),1,SUM($K339:$V339*$BY339:$CJ339)/SUM($K339:$V339))-1</f>
        <v>0</v>
      </c>
      <c r="CL339" s="234"/>
    </row>
    <row r="340" spans="1:90" ht="12.75" hidden="1" outlineLevel="1" x14ac:dyDescent="0.2">
      <c r="B340" s="414" t="str">
        <f t="shared" ca="1" si="1893"/>
        <v>Cпециальное предложение "Годовая программа", Multi-roll</v>
      </c>
      <c r="C340" s="676" t="str">
        <f t="shared" ca="1" si="1894"/>
        <v>Пакет</v>
      </c>
      <c r="D340" s="415">
        <f t="shared" ca="1" si="1895"/>
        <v>500</v>
      </c>
      <c r="E340" s="415">
        <f t="shared" ca="1" si="1896"/>
        <v>500</v>
      </c>
      <c r="F340" s="415">
        <f t="shared" ca="1" si="1897"/>
        <v>500</v>
      </c>
      <c r="G340" s="416">
        <f t="shared" ca="1" si="1898"/>
        <v>50000000</v>
      </c>
      <c r="H340" s="416">
        <f t="shared" ca="1" si="1899"/>
        <v>50000000</v>
      </c>
      <c r="I340" s="406">
        <f t="shared" ca="1" si="1900"/>
        <v>0</v>
      </c>
      <c r="J340" s="407">
        <f t="shared" ca="1" si="1901"/>
        <v>0</v>
      </c>
      <c r="K340" s="417"/>
      <c r="L340" s="418"/>
      <c r="M340" s="418"/>
      <c r="N340" s="418"/>
      <c r="O340" s="418"/>
      <c r="P340" s="418"/>
      <c r="Q340" s="418"/>
      <c r="R340" s="418"/>
      <c r="S340" s="418"/>
      <c r="T340" s="418"/>
      <c r="U340" s="418"/>
      <c r="V340" s="419"/>
      <c r="W340" s="416">
        <f t="shared" ca="1" si="1714"/>
        <v>0</v>
      </c>
      <c r="X340" s="416"/>
      <c r="Y340" s="420"/>
      <c r="Z340" s="412">
        <f t="shared" si="1902"/>
        <v>0</v>
      </c>
      <c r="AA340" s="421"/>
      <c r="AB340" s="421"/>
      <c r="AC340" s="421"/>
      <c r="AD340" s="421"/>
      <c r="AE340" s="421"/>
      <c r="AF340" s="421"/>
      <c r="AG340" s="421"/>
      <c r="AH340" s="421"/>
      <c r="AI340" s="421"/>
      <c r="AJ340" s="421"/>
      <c r="AK340" s="421"/>
      <c r="AL340" s="421"/>
      <c r="AM340" s="573"/>
      <c r="AN340" s="351" t="s">
        <v>472</v>
      </c>
      <c r="AO340" s="351" t="str">
        <f t="shared" si="1762"/>
        <v>Видеосеть</v>
      </c>
      <c r="AP340" s="115">
        <f t="shared" si="1953"/>
        <v>14</v>
      </c>
      <c r="AQ340" s="31">
        <f t="shared" ca="1" si="1903"/>
        <v>0.25</v>
      </c>
      <c r="AR340" s="31" t="str">
        <f t="shared" ca="1" si="1903"/>
        <v>Вкл.</v>
      </c>
      <c r="AS340" s="34">
        <v>0</v>
      </c>
      <c r="AT340" s="229">
        <v>0</v>
      </c>
      <c r="AU340" s="344">
        <f t="shared" ca="1" si="1904"/>
        <v>500</v>
      </c>
      <c r="AV340" s="345">
        <f t="shared" ca="1" si="1905"/>
        <v>500</v>
      </c>
      <c r="AW340" s="346">
        <f t="shared" ca="1" si="1906"/>
        <v>500</v>
      </c>
      <c r="AX340" s="280"/>
      <c r="AY340" s="280"/>
      <c r="AZ340" s="347">
        <f t="shared" ca="1" si="1907"/>
        <v>50000000</v>
      </c>
      <c r="BA340" s="348">
        <f t="shared" ca="1" si="1908"/>
        <v>50000000</v>
      </c>
      <c r="BB340" s="347">
        <f t="shared" ca="1" si="1909"/>
        <v>100000</v>
      </c>
      <c r="BC340" s="37" t="str">
        <f t="shared" ca="1" si="1909"/>
        <v>Пакет</v>
      </c>
      <c r="BD340" s="229" t="str">
        <f t="shared" ca="1" si="1910"/>
        <v>Пакет</v>
      </c>
      <c r="BE340" s="283">
        <f t="shared" ca="1" si="1763"/>
        <v>0</v>
      </c>
      <c r="BF340" s="347">
        <f t="array" aca="1" ref="BF340" ca="1">SUM($K340:$V340*$BK340:$BV340)*$AZ340</f>
        <v>0</v>
      </c>
      <c r="BG340" s="347">
        <f t="array" aca="1" ref="BG340" ca="1">SUM($K340:$V340*$BY340:$CJ340*$BK340:$BV340)*$AZ340*$BX340</f>
        <v>0</v>
      </c>
      <c r="BH340" s="347">
        <f t="array" aca="1" ref="BH340" ca="1">SUM($K340:$V340*$BY340:$CJ340*$BK340:$BV340)*(1-$BE340)*$AZ340*$BX340</f>
        <v>0</v>
      </c>
      <c r="BI340" s="350">
        <f t="shared" ca="1" si="1911"/>
        <v>0</v>
      </c>
      <c r="BJ340" s="275" t="str">
        <f t="shared" ca="1" si="1912"/>
        <v>Нет</v>
      </c>
      <c r="BK340" s="116">
        <f t="shared" ca="1" si="1913"/>
        <v>1</v>
      </c>
      <c r="BL340" s="117">
        <f t="shared" ca="1" si="1913"/>
        <v>1</v>
      </c>
      <c r="BM340" s="117">
        <f t="shared" ca="1" si="1913"/>
        <v>1</v>
      </c>
      <c r="BN340" s="117">
        <f t="shared" ca="1" si="1913"/>
        <v>1</v>
      </c>
      <c r="BO340" s="117">
        <f t="shared" ca="1" si="1913"/>
        <v>1</v>
      </c>
      <c r="BP340" s="117">
        <f t="shared" ca="1" si="1913"/>
        <v>1</v>
      </c>
      <c r="BQ340" s="117">
        <f t="shared" ca="1" si="1913"/>
        <v>1</v>
      </c>
      <c r="BR340" s="117">
        <f t="shared" ca="1" si="1913"/>
        <v>1</v>
      </c>
      <c r="BS340" s="117">
        <f t="shared" ca="1" si="1913"/>
        <v>1</v>
      </c>
      <c r="BT340" s="117">
        <f t="shared" ca="1" si="1913"/>
        <v>1</v>
      </c>
      <c r="BU340" s="117">
        <f t="shared" ca="1" si="1913"/>
        <v>1</v>
      </c>
      <c r="BV340" s="278">
        <f t="shared" ca="1" si="1913"/>
        <v>1</v>
      </c>
      <c r="BW340" s="280">
        <f t="shared" si="1764"/>
        <v>14</v>
      </c>
      <c r="BX340" s="118">
        <f>IF($AN340="Ya",100%,100%+extraDelayZ)</f>
        <v>1</v>
      </c>
      <c r="BY340" s="263">
        <f t="shared" si="1914"/>
        <v>1</v>
      </c>
      <c r="BZ340" s="264">
        <f t="shared" si="1915"/>
        <v>1</v>
      </c>
      <c r="CA340" s="264">
        <f t="shared" si="1916"/>
        <v>1</v>
      </c>
      <c r="CB340" s="264">
        <f t="shared" si="1917"/>
        <v>1</v>
      </c>
      <c r="CC340" s="264">
        <f t="shared" si="1918"/>
        <v>1</v>
      </c>
      <c r="CD340" s="264">
        <f t="shared" si="1919"/>
        <v>1</v>
      </c>
      <c r="CE340" s="264">
        <f t="shared" si="1920"/>
        <v>1</v>
      </c>
      <c r="CF340" s="264">
        <f t="shared" si="1921"/>
        <v>1</v>
      </c>
      <c r="CG340" s="264">
        <f t="shared" si="1922"/>
        <v>1</v>
      </c>
      <c r="CH340" s="264">
        <f t="shared" si="1923"/>
        <v>1</v>
      </c>
      <c r="CI340" s="264">
        <f t="shared" si="1924"/>
        <v>1</v>
      </c>
      <c r="CJ340" s="265">
        <f t="shared" si="1925"/>
        <v>1</v>
      </c>
      <c r="CK340" s="269">
        <f t="array" ref="CK340">IF(ISERROR(SUM($K340:$V340*$BY340:$CJ340)/SUM($K340:$V340)),1,SUM($K340:$V340*$BY340:$CJ340)/SUM($K340:$V340))-1</f>
        <v>0</v>
      </c>
      <c r="CL340" s="234"/>
    </row>
    <row r="341" spans="1:90" ht="12.75" x14ac:dyDescent="0.2">
      <c r="B341" s="579"/>
      <c r="C341" s="580"/>
      <c r="D341" s="581"/>
      <c r="E341" s="581"/>
      <c r="F341" s="581"/>
      <c r="G341" s="582"/>
      <c r="H341" s="582"/>
      <c r="I341" s="582"/>
      <c r="J341" s="583"/>
      <c r="K341" s="584"/>
      <c r="L341" s="585"/>
      <c r="M341" s="585"/>
      <c r="N341" s="585"/>
      <c r="O341" s="585"/>
      <c r="P341" s="585"/>
      <c r="Q341" s="585"/>
      <c r="R341" s="585"/>
      <c r="S341" s="585"/>
      <c r="T341" s="585"/>
      <c r="U341" s="585"/>
      <c r="V341" s="586"/>
      <c r="W341" s="587"/>
      <c r="X341" s="587"/>
      <c r="Y341" s="588"/>
      <c r="Z341" s="589"/>
      <c r="AA341" s="590"/>
      <c r="AB341" s="590"/>
      <c r="AC341" s="590"/>
      <c r="AD341" s="590"/>
      <c r="AE341" s="590"/>
      <c r="AF341" s="590"/>
      <c r="AG341" s="590"/>
      <c r="AH341" s="590"/>
      <c r="AI341" s="590"/>
      <c r="AJ341" s="590"/>
      <c r="AK341" s="590"/>
      <c r="AL341" s="590"/>
      <c r="AM341" s="591"/>
      <c r="AN341" s="592"/>
      <c r="AO341" s="592"/>
      <c r="AP341" s="593"/>
      <c r="AQ341" s="594"/>
      <c r="AR341" s="594"/>
      <c r="AS341" s="595"/>
      <c r="AT341" s="596"/>
      <c r="AU341" s="597"/>
      <c r="AV341" s="598"/>
      <c r="AW341" s="599"/>
      <c r="AX341" s="600"/>
      <c r="AY341" s="600"/>
      <c r="AZ341" s="601"/>
      <c r="BA341" s="602"/>
      <c r="BB341" s="601"/>
      <c r="BC341" s="603"/>
      <c r="BD341" s="604"/>
      <c r="BE341" s="605"/>
      <c r="BF341" s="601"/>
      <c r="BG341" s="602"/>
      <c r="BH341" s="606"/>
      <c r="BI341" s="607"/>
      <c r="BJ341" s="608"/>
      <c r="BK341" s="609"/>
      <c r="BL341" s="610"/>
      <c r="BM341" s="610"/>
      <c r="BN341" s="610"/>
      <c r="BO341" s="610"/>
      <c r="BP341" s="610"/>
      <c r="BQ341" s="610"/>
      <c r="BR341" s="610"/>
      <c r="BS341" s="610"/>
      <c r="BT341" s="610"/>
      <c r="BU341" s="610"/>
      <c r="BV341" s="611"/>
      <c r="BW341" s="600"/>
      <c r="BX341" s="612"/>
      <c r="BY341" s="613"/>
      <c r="BZ341" s="614"/>
      <c r="CA341" s="614"/>
      <c r="CB341" s="614"/>
      <c r="CC341" s="614"/>
      <c r="CD341" s="614"/>
      <c r="CE341" s="614"/>
      <c r="CF341" s="614"/>
      <c r="CG341" s="614"/>
      <c r="CH341" s="614"/>
      <c r="CI341" s="614"/>
      <c r="CJ341" s="615"/>
      <c r="CK341" s="616"/>
      <c r="CL341" s="284"/>
    </row>
    <row r="342" spans="1:90" s="41" customFormat="1" x14ac:dyDescent="0.2">
      <c r="A342" s="452"/>
      <c r="B342" s="475" t="s">
        <v>360</v>
      </c>
      <c r="C342" s="469"/>
      <c r="D342" s="453"/>
      <c r="E342" s="453"/>
      <c r="F342" s="453"/>
      <c r="G342" s="452"/>
      <c r="H342" s="452"/>
      <c r="I342" s="452"/>
      <c r="J342" s="452"/>
      <c r="K342" s="452"/>
      <c r="L342" s="452"/>
      <c r="M342" s="454"/>
      <c r="N342" s="454"/>
      <c r="O342" s="454"/>
      <c r="P342" s="454"/>
      <c r="Q342" s="454"/>
      <c r="R342" s="454"/>
      <c r="S342" s="454"/>
      <c r="T342" s="454"/>
      <c r="U342" s="454"/>
      <c r="V342" s="454"/>
      <c r="W342" s="452"/>
      <c r="X342" s="452"/>
      <c r="Y342" s="452"/>
      <c r="Z342" s="455"/>
      <c r="AA342" s="456"/>
      <c r="AB342" s="456"/>
      <c r="AC342" s="457"/>
      <c r="AD342" s="457"/>
      <c r="AE342" s="457"/>
      <c r="AF342" s="457"/>
      <c r="AG342" s="457"/>
      <c r="AH342" s="457"/>
      <c r="AI342" s="457"/>
      <c r="AJ342" s="457"/>
      <c r="AK342" s="457"/>
      <c r="AL342" s="457"/>
      <c r="AM342" s="458"/>
      <c r="AQ342" s="42"/>
      <c r="AR342" s="42"/>
      <c r="AS342" s="43"/>
      <c r="AT342" s="43"/>
      <c r="AU342" s="180"/>
      <c r="AV342" s="180"/>
      <c r="AW342" s="180"/>
      <c r="AX342" s="44"/>
      <c r="AY342" s="44"/>
      <c r="AZ342" s="44"/>
      <c r="BA342" s="44"/>
      <c r="BB342" s="44"/>
      <c r="BC342" s="45"/>
      <c r="BD342" s="43"/>
      <c r="BE342" s="59"/>
      <c r="BF342" s="44"/>
      <c r="BG342" s="44"/>
      <c r="BH342" s="44"/>
      <c r="BI342" s="44"/>
      <c r="BJ342" s="43"/>
      <c r="BK342" s="46"/>
      <c r="BL342" s="46"/>
      <c r="BM342" s="46"/>
      <c r="BN342" s="46"/>
      <c r="BO342" s="46"/>
      <c r="BP342" s="46"/>
      <c r="BQ342" s="46"/>
      <c r="BR342" s="46"/>
      <c r="BS342" s="46"/>
      <c r="BT342" s="46"/>
      <c r="BU342" s="46"/>
      <c r="BV342" s="46"/>
      <c r="BW342" s="44"/>
      <c r="BX342" s="72"/>
      <c r="BY342" s="266"/>
      <c r="BZ342" s="266"/>
      <c r="CA342" s="266"/>
      <c r="CB342" s="266"/>
      <c r="CC342" s="266"/>
      <c r="CD342" s="266"/>
      <c r="CE342" s="266"/>
      <c r="CF342" s="266"/>
      <c r="CG342" s="266"/>
      <c r="CH342" s="266"/>
      <c r="CI342" s="266"/>
      <c r="CJ342" s="266"/>
      <c r="CK342" s="254"/>
      <c r="CL342" s="46"/>
    </row>
    <row r="343" spans="1:90" x14ac:dyDescent="0.2">
      <c r="D343" s="453"/>
      <c r="E343" s="453"/>
      <c r="F343" s="453"/>
      <c r="G343" s="452"/>
      <c r="H343" s="452"/>
      <c r="I343" s="452"/>
      <c r="J343" s="452"/>
      <c r="K343" s="452"/>
      <c r="L343" s="452"/>
      <c r="M343" s="454"/>
      <c r="N343" s="454"/>
      <c r="O343" s="454"/>
      <c r="P343" s="454"/>
      <c r="Q343" s="454"/>
      <c r="R343" s="454"/>
      <c r="S343" s="454"/>
      <c r="T343" s="454"/>
      <c r="U343" s="454"/>
      <c r="V343" s="454"/>
      <c r="W343" s="452"/>
      <c r="X343" s="452"/>
      <c r="Y343" s="452"/>
      <c r="Z343" s="455"/>
      <c r="AA343" s="456"/>
      <c r="AB343" s="456"/>
      <c r="AC343" s="457"/>
      <c r="AD343" s="457"/>
      <c r="AE343" s="457"/>
      <c r="AF343" s="457"/>
      <c r="AG343" s="457"/>
      <c r="AH343" s="457"/>
      <c r="AI343" s="457"/>
      <c r="AJ343" s="457"/>
      <c r="AK343" s="457"/>
      <c r="AL343" s="457"/>
      <c r="AM343" s="458"/>
      <c r="AN343" s="41"/>
      <c r="AO343" s="41"/>
      <c r="AP343" s="41"/>
      <c r="AQ343" s="42"/>
      <c r="AR343" s="42"/>
      <c r="AS343" s="43"/>
      <c r="AT343" s="43"/>
      <c r="AU343" s="180"/>
      <c r="AV343" s="180"/>
      <c r="AW343" s="180"/>
      <c r="AX343" s="44"/>
      <c r="AY343" s="44"/>
      <c r="AZ343" s="44"/>
      <c r="BA343" s="44"/>
      <c r="BB343" s="44"/>
      <c r="BC343" s="45"/>
      <c r="BD343" s="43"/>
      <c r="BE343" s="59"/>
      <c r="BF343" s="44"/>
      <c r="BG343" s="44"/>
      <c r="BH343" s="44"/>
      <c r="BI343" s="44"/>
      <c r="BJ343" s="43"/>
      <c r="BK343" s="46"/>
      <c r="BL343" s="46"/>
      <c r="BM343" s="46"/>
      <c r="BN343" s="46"/>
      <c r="BO343" s="46"/>
      <c r="BP343" s="46"/>
      <c r="BQ343" s="46"/>
      <c r="BR343" s="46"/>
      <c r="BS343" s="46"/>
      <c r="BT343" s="46"/>
      <c r="BU343" s="46"/>
      <c r="BV343" s="46"/>
      <c r="BW343" s="44"/>
      <c r="BX343" s="72"/>
      <c r="BY343" s="266"/>
      <c r="BZ343" s="266"/>
      <c r="CA343" s="266"/>
      <c r="CB343" s="266"/>
      <c r="CC343" s="266"/>
      <c r="CD343" s="266"/>
      <c r="CE343" s="266"/>
      <c r="CF343" s="266"/>
      <c r="CG343" s="266"/>
      <c r="CH343" s="266"/>
      <c r="CI343" s="266"/>
      <c r="CJ343" s="266"/>
      <c r="CK343" s="254"/>
      <c r="CL343" s="46"/>
    </row>
    <row r="344" spans="1:90" ht="12.75" x14ac:dyDescent="0.2">
      <c r="B344" s="459" t="s">
        <v>324</v>
      </c>
      <c r="C344" s="470"/>
      <c r="D344" s="453"/>
      <c r="E344" s="453"/>
      <c r="F344" s="453"/>
      <c r="G344" s="452"/>
      <c r="H344" s="452"/>
      <c r="I344" s="452"/>
      <c r="J344" s="452"/>
      <c r="K344" s="452"/>
      <c r="L344" s="452"/>
      <c r="M344" s="454"/>
      <c r="N344" s="454"/>
      <c r="O344" s="454"/>
      <c r="P344" s="454"/>
      <c r="Q344" s="454"/>
      <c r="R344" s="454"/>
      <c r="S344" s="454"/>
      <c r="T344" s="454"/>
      <c r="U344" s="454"/>
      <c r="V344" s="454"/>
      <c r="W344" s="452"/>
      <c r="X344" s="452"/>
      <c r="Y344" s="452"/>
      <c r="Z344" s="455"/>
      <c r="AA344" s="456"/>
      <c r="AB344" s="456"/>
      <c r="AC344" s="457"/>
      <c r="AD344" s="457"/>
      <c r="AE344" s="457"/>
      <c r="AF344" s="457"/>
      <c r="AG344" s="457"/>
      <c r="AH344" s="457"/>
      <c r="AI344" s="457"/>
      <c r="AJ344" s="457"/>
      <c r="AK344" s="457"/>
      <c r="AL344" s="457"/>
      <c r="AM344" s="458"/>
      <c r="AN344" s="41"/>
      <c r="AO344" s="41"/>
      <c r="AP344" s="41"/>
      <c r="AQ344" s="42"/>
      <c r="AR344" s="42"/>
      <c r="AS344" s="43"/>
      <c r="AT344" s="43"/>
      <c r="AU344" s="180"/>
      <c r="AV344" s="180"/>
      <c r="AW344" s="180"/>
      <c r="AX344" s="44"/>
      <c r="AY344" s="44"/>
      <c r="AZ344" s="44"/>
      <c r="BA344" s="44"/>
      <c r="BB344" s="44"/>
      <c r="BC344" s="45"/>
      <c r="BD344" s="43"/>
      <c r="BE344" s="59"/>
      <c r="BF344" s="44"/>
      <c r="BG344" s="44"/>
      <c r="BH344" s="44"/>
      <c r="BI344" s="44"/>
      <c r="BJ344" s="43"/>
      <c r="BK344" s="46"/>
      <c r="BL344" s="46"/>
      <c r="BM344" s="46"/>
      <c r="BN344" s="46"/>
      <c r="BO344" s="46"/>
      <c r="BP344" s="46"/>
      <c r="BQ344" s="46"/>
      <c r="BR344" s="46"/>
      <c r="BS344" s="46"/>
      <c r="BT344" s="46"/>
      <c r="BU344" s="46"/>
      <c r="BV344" s="46"/>
      <c r="BW344" s="44"/>
      <c r="BX344" s="72"/>
      <c r="BY344" s="266"/>
      <c r="BZ344" s="266"/>
      <c r="CA344" s="266"/>
      <c r="CB344" s="266"/>
      <c r="CC344" s="266"/>
      <c r="CD344" s="266"/>
      <c r="CE344" s="266"/>
      <c r="CF344" s="266"/>
      <c r="CG344" s="266"/>
      <c r="CH344" s="266"/>
      <c r="CI344" s="266"/>
      <c r="CJ344" s="266"/>
      <c r="CK344" s="254"/>
      <c r="CL344" s="46"/>
    </row>
    <row r="345" spans="1:90" ht="12.75" x14ac:dyDescent="0.2">
      <c r="B345" s="460" t="s">
        <v>199</v>
      </c>
      <c r="C345" s="471"/>
      <c r="AN345" s="3"/>
    </row>
    <row r="346" spans="1:90" ht="12.75" x14ac:dyDescent="0.2">
      <c r="B346" s="462" t="s">
        <v>322</v>
      </c>
      <c r="C346" s="472"/>
      <c r="M346" s="352"/>
      <c r="N346" s="352"/>
      <c r="O346" s="352"/>
      <c r="P346" s="352"/>
      <c r="Q346" s="352"/>
      <c r="R346" s="352"/>
      <c r="S346" s="352"/>
      <c r="T346" s="352"/>
      <c r="U346" s="352"/>
      <c r="V346" s="352"/>
      <c r="AC346" s="355"/>
      <c r="AD346" s="355"/>
      <c r="AE346" s="355"/>
      <c r="AF346" s="355"/>
      <c r="AG346" s="355"/>
      <c r="AH346" s="355"/>
      <c r="AI346" s="355"/>
      <c r="AJ346" s="355"/>
      <c r="AK346" s="355"/>
      <c r="AL346" s="355"/>
      <c r="AN346" s="20"/>
    </row>
    <row r="347" spans="1:90" ht="12.75" x14ac:dyDescent="0.2">
      <c r="AN347" s="40"/>
    </row>
    <row r="348" spans="1:90" ht="12.75" x14ac:dyDescent="0.2">
      <c r="B348" s="463" t="s">
        <v>325</v>
      </c>
      <c r="C348" s="472"/>
      <c r="AN348" s="40"/>
    </row>
    <row r="349" spans="1:90" ht="12.75" x14ac:dyDescent="0.2">
      <c r="AN349" s="3"/>
    </row>
    <row r="350" spans="1:90" ht="12.75" x14ac:dyDescent="0.2">
      <c r="B350" s="463" t="s">
        <v>326</v>
      </c>
      <c r="C350" s="472"/>
      <c r="AN350" s="3"/>
    </row>
    <row r="351" spans="1:90" ht="12.75" x14ac:dyDescent="0.2">
      <c r="B351" s="463" t="s">
        <v>616</v>
      </c>
      <c r="C351" s="472"/>
    </row>
    <row r="352" spans="1:90" ht="12.75" x14ac:dyDescent="0.2">
      <c r="B352" s="463"/>
      <c r="C352" s="472"/>
      <c r="AN352" s="3"/>
    </row>
    <row r="353" spans="2:40" ht="12.75" x14ac:dyDescent="0.2">
      <c r="B353" s="463" t="s">
        <v>196</v>
      </c>
      <c r="C353" s="472"/>
      <c r="AN353" s="3"/>
    </row>
    <row r="354" spans="2:40" ht="12.75" x14ac:dyDescent="0.2">
      <c r="B354" s="463" t="s">
        <v>1</v>
      </c>
      <c r="C354" s="472"/>
      <c r="AN354" s="3"/>
    </row>
    <row r="355" spans="2:40" ht="12.75" x14ac:dyDescent="0.2">
      <c r="B355" s="463" t="s">
        <v>2</v>
      </c>
      <c r="C355" s="472"/>
      <c r="AN355" s="3"/>
    </row>
    <row r="356" spans="2:40" ht="12.75" x14ac:dyDescent="0.2">
      <c r="AN356" s="3"/>
    </row>
    <row r="357" spans="2:40" ht="12.75" x14ac:dyDescent="0.2">
      <c r="B357" s="463" t="s">
        <v>104</v>
      </c>
      <c r="C357" s="472"/>
      <c r="AN357" s="3"/>
    </row>
    <row r="358" spans="2:40" ht="12.75" x14ac:dyDescent="0.2">
      <c r="B358" s="463" t="s">
        <v>323</v>
      </c>
      <c r="C358" s="472"/>
      <c r="AN358" s="3"/>
    </row>
    <row r="359" spans="2:40" ht="12.75" x14ac:dyDescent="0.2">
      <c r="B359" s="463" t="s">
        <v>197</v>
      </c>
      <c r="C359" s="472"/>
    </row>
  </sheetData>
  <dataConsolidate/>
  <mergeCells count="11">
    <mergeCell ref="B3:C3"/>
    <mergeCell ref="B4:C4"/>
    <mergeCell ref="B5:C5"/>
    <mergeCell ref="B6:C6"/>
    <mergeCell ref="B7:C7"/>
    <mergeCell ref="E3:G3"/>
    <mergeCell ref="K9:V9"/>
    <mergeCell ref="AA9:AL9"/>
    <mergeCell ref="Z1:Z4"/>
    <mergeCell ref="H4:I4"/>
    <mergeCell ref="H5:I5"/>
  </mergeCells>
  <phoneticPr fontId="2" type="noConversion"/>
  <conditionalFormatting sqref="Z11:Z19 Z337:Z338 Z112:Z132 Z319:Z335 Z340:Z341 Z79:Z90 Z263 Z192:Z232 Z278:Z281 Z76 Z44:Z50 Z93:Z107 Z283:Z286 Z236:Z261 Z36:Z39 Z317 Z288:Z313 Z73:Z74 Z63:Z71 Z134:Z186 Z267:Z271">
    <cfRule type="cellIs" dxfId="705" priority="1073" operator="equal">
      <formula>0</formula>
    </cfRule>
  </conditionalFormatting>
  <conditionalFormatting sqref="AA305:AL308 K305:V308 AA285:AL286 K285:V286 AA280:AL281 K280:V281 AA310:AL313 K310:V313 AA254:AL256 K254:V256 AA228:AL232 K228:V232 AA245:AL247 K245:V247 AA207:AL209 K207:V209 AA158:AL165 K158:V165 AA137:AL144 K137:V144 AA121:AL126 K121:V126 K68:V71 AA68:AL71 K83:V90 AA105:AL107 K105:V107 AA291:AL303 K291:V296 AA12:AL19 K12:V19 AA211:AL226 K211:V226 AA114:AL119 K114:V119 K298:V303 AA83:AL90 AA328:AL335 K328:V335 AA337:AL338 K337:V338 K319:V326 AA319:AL326 AA178:AL186 K178:V186 AA79:AL81 K79:V81 K112:V112 AA112:AL112 K102:V103 AA102:AL103 AA258:AL261 K258:V261 AA146:AL156 K146:V156 AA128:AL132 K128:V132 K263:V263 AA263:AL263 K192:V205 AA192:AL205 AA167:AL176 K167:V176 K340:V341 AA340:AL340 K44:V50 AA44:AL50 AA249:AL252 K249:V252 K278:V278 AA278:AL278 AA76:AL76 K76:V76 AA64:AL66 K64:V66 AA93:AL100 K93:V100 K283:V283 AA283:AL283 K236:V243 AA236:AL243 K36:V39 AA36:AL39 K317:V317 AA317:AL317 K288:V289 AA288:AL289 AA73:AL74 K73:V74 K134:V135 AA134:AL135 AA267:AL271 K267:V271">
    <cfRule type="expression" dxfId="704" priority="1062">
      <formula>ISNUMBER(K12)</formula>
    </cfRule>
  </conditionalFormatting>
  <conditionalFormatting sqref="B11:C11 B63:C63 B101:C101 B127:C127 B136:C136 B145:C145 B157:C157 B166:C166 B177:C177 B206:C206 B210:C210 B227:C227 B244:C244 B248:C248 B253:C253 B257:C257 B279:C279 B284:C284 B290:C290 B304:C304 B309:C309 B327:C327 B82:C82">
    <cfRule type="expression" dxfId="703" priority="1069">
      <formula>$AX11&gt;0</formula>
    </cfRule>
  </conditionalFormatting>
  <conditionalFormatting sqref="B228:J232 W228:W232 B254:J255 W254:W255 B285:J286 W285:W286 Y228:Z232 Y254:Z255 Y285:Z286 B245:J247 W245:W247 Y245:Z247 B158:J165 W158:Z165 W137:Z144 B137:J144 W207:Z209 B207:J209 B305:J308 W305:Z308 B12:J19 W12:Z19 B280:J281 W280:Z281 B291:J303 W291:Z303 W211:Z226 B211:J226 Y252:Z252 W252 B117:J119 W117:Z119 B310:J313 W310:Z313 B328:J335 W328:Z335 B337:J338 W337:Z338 W319:Z326 B319:J326 B178:J186 W178:Z186 B79:J81 W79:Z81 Y102:Z103 W102:W103 B102:J103 B258:J261 W258:Z261 B146:J156 W146:Z156 B128:J132 W128:Z132 W263:Z263 B263:J263 W192:Z205 B192:J205 B167:J176 W167:Z176 W340:Z340 B340:J340 B83:J90 W83:Z90 W44:Z50 B44:J50 B249:J252 W249:Z251 W278:Z278 B278:J278 W76:Z76 B76:J76 B64:J71 W64:Z71 W93:Z100 B93:J100 W283:Z283 B283:J283 Y236:Z243 W236:W243 B236:J243 W36:Z39 B36:J39 W317:Z317 B317:J317 Y288:Z289 W288:W289 B288:J289 W73:Z74 B73:J74 W134:Z135 B134:J135 B267:J271 W267:Z271">
    <cfRule type="expression" dxfId="702" priority="1072">
      <formula>OR($BC12="1000 контактов",$BC12="Секунда",$BC12="Контакты")</formula>
    </cfRule>
  </conditionalFormatting>
  <conditionalFormatting sqref="Y11 Y63 Y82 Y101 Y127 Y136 Y145 Y157 Y166 Y177 Y206 Y210 Y227 Y244 Y248 Y253 Y257 Y279 Y284 Y290 Y304 Y309 Y327">
    <cfRule type="expression" dxfId="701" priority="1057">
      <formula>Y11=INDEX(indDiscMaxX,MATCH($AN11,indPrefixX,0))</formula>
    </cfRule>
    <cfRule type="expression" dxfId="700" priority="1067">
      <formula>Y11&lt;&gt;$BE11</formula>
    </cfRule>
  </conditionalFormatting>
  <conditionalFormatting sqref="J10:J19 J117:J119 J337:J338 J127:J132 J319:J335 J340:J341 J79:J90 J257:J261 J263 J192:J232 J278:J281 J76 J44:J50 J93:J103 J283:J286 J236:J255 J36:J39 J317 J288:J313 J73:J74 J63:J71 J134:J186 J267:J271">
    <cfRule type="expression" dxfId="699" priority="1066">
      <formula>J10&lt;&gt;$BH10</formula>
    </cfRule>
  </conditionalFormatting>
  <conditionalFormatting sqref="I10:I19 I117:I119 I337:I338 I127:I132 I319:I335 I340:I341 I79:I90 I257:I261 I263 I192:I232 I278:I281 I76 I44:I50 I93:I103 I283:I286 I236:I255 I36:I39 I317 I288:I313 I73:I74 I63:I71 I134:I186 I267:I271">
    <cfRule type="expression" dxfId="698" priority="1065">
      <formula>I10&lt;&gt;$BG10</formula>
    </cfRule>
  </conditionalFormatting>
  <conditionalFormatting sqref="K305:V308 K285:V286 K280:V281 K310:V313 K254:V256 K228:V232 K245:V247 K207:V209 K158:V165 K137:V144 K121:V126 K68:V71 K83:V90 K105:V107 K291:V296 K12:V19 K211:V226 K114:V119 K298:V303 K328:V335 K337:V338 K319:V326 K178:V186 K79:V81 K112:V112 K102:V103 K258:V261 K146:V156 K128:V132 K263:V263 K192:V205 K167:V176 K340:V340 K44:V50 K249:V252 K278:V278 K76:V76 K64:V66 K93:V100 K283:V283 K236:V243 K36:V39 K317:V317 K288:V289 K73:V74 K134:V135 K267:V271">
    <cfRule type="expression" dxfId="697" priority="1063">
      <formula>NOT(OR(ISBLANK(K12),ISNUMBER(K12)))</formula>
    </cfRule>
  </conditionalFormatting>
  <conditionalFormatting sqref="K68:V71 AA68:AM71 K83:V90 AA83:AM90 K105:V107 AA105:AM107 K114:V119 AA114:AM119 K121:V126 AA121:AM126 Z128:AA128 K137:V144 AA137:AM144 K158:V165 AA158:AM165 K178:V186 AA178:AM186 K207:V209 AA207:AM209 K211:V226 AA211:AM226 K228:V232 AA228:AM232 AU199:AV199 K245:V247 AA245:AM247 AA248:AA249 K254:V256 AA254:AM256 K280:V281 AA280:AM281 K285:V286 AA285:AM286 K291:V296 AA291:AM296 K298:V303 AA298:AM303 K305:V308 AA305:AM308 K310:V313 AA79:AM81 K79:V81 AA112:AM112 K112:V112 AA102:AM103 K102:V103 K146:V156 AA146:AM156 K128:V132 AA128:AM132 K258:V263 AA258:AM263 AA192:AM205 K192:V205 K167:V176 AA167:AM176 K328:V340 AA310:AM313 K12:V19 AA12:AM19 K249:V252 AA249:AM252 K273:V276 AA273:AM276 AA278:AM278 K278:V278 AA76:AM76 K76:V76 K64:V66 AA64:AM66 AA93:AM100 K93:V100 AA283:AM283 K283:V283 AA236:AM243 K236:V243 AA36:AM50 K36:V50 AA317:AM340 K317:V326 AA288:AM289 K288:V289 AA73:AM74 K73:V74 AA134:AM135 K134:V135 AA267:AM271 K267:V271">
    <cfRule type="expression" dxfId="696" priority="1068">
      <formula>OR($BC12="1000 контактов",$BC12="Секунда",$BC12="Контакты")</formula>
    </cfRule>
  </conditionalFormatting>
  <conditionalFormatting sqref="X228:X232 X254:X255 X285:X286 X245:X247 X252 X102:X103 X236:X243 X288:X289">
    <cfRule type="expression" dxfId="695" priority="1061">
      <formula>OR($BC102="1000 контактов",$BC102="Секунда",$BC102="Контакты")</formula>
    </cfRule>
  </conditionalFormatting>
  <conditionalFormatting sqref="Z11:Z19 Z337:Z338 Z112:Z132 Z319:Z335 Z340:Z341 Z79:Z90 Z263 Z192:Z232 Z278:Z281 Z76 Z44:Z50 Z93:Z107 Z283:Z286 Z236:Z261 Z36:Z39 Z317 Z288:Z313 Z73:Z74 Z63:Z71 Z134:Z186 Z267:Z271">
    <cfRule type="cellIs" dxfId="694" priority="1071" operator="notEqual">
      <formula>0</formula>
    </cfRule>
  </conditionalFormatting>
  <conditionalFormatting sqref="B4:C7">
    <cfRule type="expression" dxfId="693" priority="1056">
      <formula>LEFT(B4,11)="&lt; Название "</formula>
    </cfRule>
  </conditionalFormatting>
  <conditionalFormatting sqref="B256:J256 W256 Y256:Z256">
    <cfRule type="expression" dxfId="692" priority="1054">
      <formula>OR($BC256="1000 контактов",$BC256="Секунда",$BC256="Контакты")</formula>
    </cfRule>
  </conditionalFormatting>
  <conditionalFormatting sqref="J256">
    <cfRule type="expression" dxfId="691" priority="1051">
      <formula>J256&lt;&gt;$BH256</formula>
    </cfRule>
  </conditionalFormatting>
  <conditionalFormatting sqref="I256">
    <cfRule type="expression" dxfId="690" priority="1050">
      <formula>I256&lt;&gt;$BG256</formula>
    </cfRule>
  </conditionalFormatting>
  <conditionalFormatting sqref="AA256:AM256 K256:V256">
    <cfRule type="expression" dxfId="689" priority="1049">
      <formula>NOT(OR($BC256="1000 контактов",$BC256="Секунда",$BC256="Контакты"))</formula>
    </cfRule>
    <cfRule type="expression" dxfId="688" priority="1052">
      <formula>OR($BC256="1000 контактов",$BC256="Секунда",$BC256="Контакты")</formula>
    </cfRule>
  </conditionalFormatting>
  <conditionalFormatting sqref="X256">
    <cfRule type="expression" dxfId="687" priority="1046">
      <formula>OR($BC256="1000 контактов",$BC256="Секунда",$BC256="Контакты")</formula>
    </cfRule>
  </conditionalFormatting>
  <conditionalFormatting sqref="B104:C104">
    <cfRule type="expression" dxfId="686" priority="1030">
      <formula>$AX104&gt;0</formula>
    </cfRule>
  </conditionalFormatting>
  <conditionalFormatting sqref="B105:J105 W105 Y105:Z105 Y112:Z112 W112 B112:J112">
    <cfRule type="expression" dxfId="685" priority="1032">
      <formula>OR($BC105="1000 контактов",$BC105="Секунда",$BC105="Контакты")</formula>
    </cfRule>
  </conditionalFormatting>
  <conditionalFormatting sqref="Y104">
    <cfRule type="expression" dxfId="684" priority="1021">
      <formula>Y104=INDEX(indDiscMaxX,MATCH($AN104,indPrefixX,0))</formula>
    </cfRule>
    <cfRule type="expression" dxfId="683" priority="1028">
      <formula>Y104&lt;&gt;$BE104</formula>
    </cfRule>
  </conditionalFormatting>
  <conditionalFormatting sqref="J104:J105 J112">
    <cfRule type="expression" dxfId="682" priority="1027">
      <formula>J104&lt;&gt;$BH104</formula>
    </cfRule>
  </conditionalFormatting>
  <conditionalFormatting sqref="I104:I105 I112">
    <cfRule type="expression" dxfId="681" priority="1026">
      <formula>I104&lt;&gt;$BG104</formula>
    </cfRule>
  </conditionalFormatting>
  <conditionalFormatting sqref="AA105:AM105 K105:V105 K112:V112 AA112:AM112">
    <cfRule type="expression" dxfId="680" priority="1025">
      <formula>NOT(OR($BC105="1000 контактов",$BC105="Секунда",$BC105="Контакты"))</formula>
    </cfRule>
    <cfRule type="expression" dxfId="679" priority="1029">
      <formula>OR($BC105="1000 контактов",$BC105="Секунда",$BC105="Контакты")</formula>
    </cfRule>
  </conditionalFormatting>
  <conditionalFormatting sqref="X105 X112">
    <cfRule type="expression" dxfId="678" priority="1022">
      <formula>OR($BC105="1000 контактов",$BC105="Секунда",$BC105="Контакты")</formula>
    </cfRule>
  </conditionalFormatting>
  <conditionalFormatting sqref="B106:J107 W106:W107 Y106:Z107">
    <cfRule type="expression" dxfId="677" priority="1019">
      <formula>OR($BC106="1000 контактов",$BC106="Секунда",$BC106="Контакты")</formula>
    </cfRule>
  </conditionalFormatting>
  <conditionalFormatting sqref="J106:J107">
    <cfRule type="expression" dxfId="676" priority="1016">
      <formula>J106&lt;&gt;$BH106</formula>
    </cfRule>
  </conditionalFormatting>
  <conditionalFormatting sqref="I106:I107">
    <cfRule type="expression" dxfId="675" priority="1015">
      <formula>I106&lt;&gt;$BG106</formula>
    </cfRule>
  </conditionalFormatting>
  <conditionalFormatting sqref="AA106:AM107 K106:V107">
    <cfRule type="expression" dxfId="674" priority="1014">
      <formula>NOT(OR($BC106="1000 контактов",$BC106="Секунда",$BC106="Контакты"))</formula>
    </cfRule>
    <cfRule type="expression" dxfId="673" priority="1017">
      <formula>OR($BC106="1000 контактов",$BC106="Секунда",$BC106="Контакты")</formula>
    </cfRule>
  </conditionalFormatting>
  <conditionalFormatting sqref="X106:X107">
    <cfRule type="expression" dxfId="672" priority="1011">
      <formula>OR($BC106="1000 контактов",$BC106="Секунда",$BC106="Контакты")</formula>
    </cfRule>
  </conditionalFormatting>
  <conditionalFormatting sqref="B113:C113">
    <cfRule type="expression" dxfId="671" priority="1007">
      <formula>$AX113&gt;0</formula>
    </cfRule>
  </conditionalFormatting>
  <conditionalFormatting sqref="B114:J114 W114 Y114:Z114">
    <cfRule type="expression" dxfId="670" priority="1009">
      <formula>OR($BC114="1000 контактов",$BC114="Секунда",$BC114="Контакты")</formula>
    </cfRule>
  </conditionalFormatting>
  <conditionalFormatting sqref="Y113">
    <cfRule type="expression" dxfId="669" priority="998">
      <formula>Y113=INDEX(indDiscMaxX,MATCH($AN113,indPrefixX,0))</formula>
    </cfRule>
    <cfRule type="expression" dxfId="668" priority="1005">
      <formula>Y113&lt;&gt;$BE113</formula>
    </cfRule>
  </conditionalFormatting>
  <conditionalFormatting sqref="J113:J114">
    <cfRule type="expression" dxfId="667" priority="1004">
      <formula>J113&lt;&gt;$BH113</formula>
    </cfRule>
  </conditionalFormatting>
  <conditionalFormatting sqref="I113:I114">
    <cfRule type="expression" dxfId="666" priority="1003">
      <formula>I113&lt;&gt;$BG113</formula>
    </cfRule>
  </conditionalFormatting>
  <conditionalFormatting sqref="AA114:AM114 K114:V114">
    <cfRule type="expression" dxfId="665" priority="1002">
      <formula>NOT(OR($BC114="1000 контактов",$BC114="Секунда",$BC114="Контакты"))</formula>
    </cfRule>
    <cfRule type="expression" dxfId="664" priority="1006">
      <formula>OR($BC114="1000 контактов",$BC114="Секунда",$BC114="Контакты")</formula>
    </cfRule>
  </conditionalFormatting>
  <conditionalFormatting sqref="X114">
    <cfRule type="expression" dxfId="663" priority="999">
      <formula>OR($BC114="1000 контактов",$BC114="Секунда",$BC114="Контакты")</formula>
    </cfRule>
  </conditionalFormatting>
  <conditionalFormatting sqref="B115:J116 W115:W116 Y115:Z116">
    <cfRule type="expression" dxfId="662" priority="996">
      <formula>OR($BC115="1000 контактов",$BC115="Секунда",$BC115="Контакты")</formula>
    </cfRule>
  </conditionalFormatting>
  <conditionalFormatting sqref="J115:J116">
    <cfRule type="expression" dxfId="661" priority="993">
      <formula>J115&lt;&gt;$BH115</formula>
    </cfRule>
  </conditionalFormatting>
  <conditionalFormatting sqref="I115:I116">
    <cfRule type="expression" dxfId="660" priority="992">
      <formula>I115&lt;&gt;$BG115</formula>
    </cfRule>
  </conditionalFormatting>
  <conditionalFormatting sqref="AA115:AM116 K115:V116">
    <cfRule type="expression" dxfId="659" priority="991">
      <formula>NOT(OR($BC115="1000 контактов",$BC115="Секунда",$BC115="Контакты"))</formula>
    </cfRule>
    <cfRule type="expression" dxfId="658" priority="994">
      <formula>OR($BC115="1000 контактов",$BC115="Секунда",$BC115="Контакты")</formula>
    </cfRule>
  </conditionalFormatting>
  <conditionalFormatting sqref="X115:X116">
    <cfRule type="expression" dxfId="657" priority="988">
      <formula>OR($BC115="1000 контактов",$BC115="Секунда",$BC115="Контакты")</formula>
    </cfRule>
  </conditionalFormatting>
  <conditionalFormatting sqref="B120:C120">
    <cfRule type="expression" dxfId="656" priority="984">
      <formula>$AX120&gt;0</formula>
    </cfRule>
  </conditionalFormatting>
  <conditionalFormatting sqref="B121:J121 W121 Y121:Z121 Y126:Z126 W126 B126:J126">
    <cfRule type="expression" dxfId="655" priority="986">
      <formula>OR($BC121="1000 контактов",$BC121="Секунда",$BC121="Контакты")</formula>
    </cfRule>
  </conditionalFormatting>
  <conditionalFormatting sqref="Y120">
    <cfRule type="expression" dxfId="654" priority="975">
      <formula>Y120=INDEX(indDiscMaxX,MATCH($AN120,indPrefixX,0))</formula>
    </cfRule>
    <cfRule type="expression" dxfId="653" priority="982">
      <formula>Y120&lt;&gt;$BE120</formula>
    </cfRule>
  </conditionalFormatting>
  <conditionalFormatting sqref="J120:J121 J126">
    <cfRule type="expression" dxfId="652" priority="981">
      <formula>J120&lt;&gt;$BH120</formula>
    </cfRule>
  </conditionalFormatting>
  <conditionalFormatting sqref="I120:I121 I126">
    <cfRule type="expression" dxfId="651" priority="980">
      <formula>I120&lt;&gt;$BG120</formula>
    </cfRule>
  </conditionalFormatting>
  <conditionalFormatting sqref="AA121:AM121 K121:V121 K126:V126 AA126:AM126">
    <cfRule type="expression" dxfId="650" priority="979">
      <formula>NOT(OR($BC121="1000 контактов",$BC121="Секунда",$BC121="Контакты"))</formula>
    </cfRule>
    <cfRule type="expression" dxfId="649" priority="983">
      <formula>OR($BC121="1000 контактов",$BC121="Секунда",$BC121="Контакты")</formula>
    </cfRule>
  </conditionalFormatting>
  <conditionalFormatting sqref="X121 X126">
    <cfRule type="expression" dxfId="648" priority="976">
      <formula>OR($BC121="1000 контактов",$BC121="Секунда",$BC121="Контакты")</formula>
    </cfRule>
  </conditionalFormatting>
  <conditionalFormatting sqref="B122:J125 W122:W125 Y122:Z125">
    <cfRule type="expression" dxfId="647" priority="973">
      <formula>OR($BC122="1000 контактов",$BC122="Секунда",$BC122="Контакты")</formula>
    </cfRule>
  </conditionalFormatting>
  <conditionalFormatting sqref="J122:J125">
    <cfRule type="expression" dxfId="646" priority="970">
      <formula>J122&lt;&gt;$BH122</formula>
    </cfRule>
  </conditionalFormatting>
  <conditionalFormatting sqref="I122:I125">
    <cfRule type="expression" dxfId="645" priority="969">
      <formula>I122&lt;&gt;$BG122</formula>
    </cfRule>
  </conditionalFormatting>
  <conditionalFormatting sqref="AA122:AM125 K122:V125">
    <cfRule type="expression" dxfId="644" priority="968">
      <formula>NOT(OR($BC122="1000 контактов",$BC122="Секунда",$BC122="Контакты"))</formula>
    </cfRule>
    <cfRule type="expression" dxfId="643" priority="971">
      <formula>OR($BC122="1000 контактов",$BC122="Секунда",$BC122="Контакты")</formula>
    </cfRule>
  </conditionalFormatting>
  <conditionalFormatting sqref="X122:X125">
    <cfRule type="expression" dxfId="642" priority="965">
      <formula>OR($BC122="1000 контактов",$BC122="Секунда",$BC122="Контакты")</formula>
    </cfRule>
  </conditionalFormatting>
  <conditionalFormatting sqref="B119:J119 W119 Y119:Z119">
    <cfRule type="expression" dxfId="641" priority="939">
      <formula>OR($BC119="1000 контактов",$BC119="Секунда",$BC119="Контакты")</formula>
    </cfRule>
  </conditionalFormatting>
  <conditionalFormatting sqref="J119">
    <cfRule type="expression" dxfId="640" priority="938">
      <formula>J119&lt;&gt;$BH119</formula>
    </cfRule>
  </conditionalFormatting>
  <conditionalFormatting sqref="I119">
    <cfRule type="expression" dxfId="639" priority="937">
      <formula>I119&lt;&gt;$BG119</formula>
    </cfRule>
  </conditionalFormatting>
  <conditionalFormatting sqref="AA119:AM119 K119:V119">
    <cfRule type="expression" dxfId="638" priority="934">
      <formula>NOT(OR($BC119="1000 контактов",$BC119="Секунда",$BC119="Контакты"))</formula>
    </cfRule>
    <cfRule type="expression" dxfId="637" priority="935">
      <formula>OR($BC119="1000 контактов",$BC119="Секунда",$BC119="Контакты")</formula>
    </cfRule>
  </conditionalFormatting>
  <conditionalFormatting sqref="X119">
    <cfRule type="expression" dxfId="636" priority="933">
      <formula>OR($BC119="1000 контактов",$BC119="Секунда",$BC119="Контакты")</formula>
    </cfRule>
  </conditionalFormatting>
  <conditionalFormatting sqref="B67:C67">
    <cfRule type="expression" dxfId="635" priority="891">
      <formula>$AX67&gt;0</formula>
    </cfRule>
  </conditionalFormatting>
  <conditionalFormatting sqref="Y67">
    <cfRule type="expression" dxfId="634" priority="889">
      <formula>Y67=INDEX(indDiscMaxX,MATCH($AN67,indPrefixX,0))</formula>
    </cfRule>
    <cfRule type="expression" dxfId="633" priority="890">
      <formula>Y67&lt;&gt;$BE67</formula>
    </cfRule>
  </conditionalFormatting>
  <conditionalFormatting sqref="B297:C297">
    <cfRule type="expression" dxfId="632" priority="882">
      <formula>$AX297&gt;0</formula>
    </cfRule>
  </conditionalFormatting>
  <conditionalFormatting sqref="Y297">
    <cfRule type="expression" dxfId="631" priority="880">
      <formula>Y297=INDEX(indDiscMaxX,MATCH($AN297,indPrefixX,0))</formula>
    </cfRule>
    <cfRule type="expression" dxfId="630" priority="881">
      <formula>Y297&lt;&gt;$BE297</formula>
    </cfRule>
  </conditionalFormatting>
  <conditionalFormatting sqref="Z40">
    <cfRule type="cellIs" dxfId="629" priority="793" operator="equal">
      <formula>0</formula>
    </cfRule>
  </conditionalFormatting>
  <conditionalFormatting sqref="AA40:AL40 K40:V40">
    <cfRule type="expression" dxfId="628" priority="785">
      <formula>ISNUMBER(K40)</formula>
    </cfRule>
  </conditionalFormatting>
  <conditionalFormatting sqref="B40:J40 W40:Z40">
    <cfRule type="expression" dxfId="627" priority="792">
      <formula>OR($BC40="1000 контактов",$BC40="Секунда",$BC40="Контакты")</formula>
    </cfRule>
  </conditionalFormatting>
  <conditionalFormatting sqref="J40">
    <cfRule type="expression" dxfId="626" priority="789">
      <formula>J40&lt;&gt;$BH40</formula>
    </cfRule>
  </conditionalFormatting>
  <conditionalFormatting sqref="I40">
    <cfRule type="expression" dxfId="625" priority="788">
      <formula>I40&lt;&gt;$BG40</formula>
    </cfRule>
  </conditionalFormatting>
  <conditionalFormatting sqref="K40:V40">
    <cfRule type="expression" dxfId="624" priority="786">
      <formula>NOT(OR(ISBLANK(K40),ISNUMBER(K40)))</formula>
    </cfRule>
  </conditionalFormatting>
  <conditionalFormatting sqref="AA40:AM40 K40:V40">
    <cfRule type="expression" dxfId="623" priority="787">
      <formula>NOT(OR($BC40="1000 контактов",$BC40="Секунда",$BC40="Контакты"))</formula>
    </cfRule>
    <cfRule type="expression" dxfId="622" priority="790">
      <formula>OR($BC40="1000 контактов",$BC40="Секунда",$BC40="Контакты")</formula>
    </cfRule>
  </conditionalFormatting>
  <conditionalFormatting sqref="Z40">
    <cfRule type="cellIs" dxfId="621" priority="791" operator="notEqual">
      <formula>0</formula>
    </cfRule>
  </conditionalFormatting>
  <conditionalFormatting sqref="Z41">
    <cfRule type="cellIs" dxfId="620" priority="784" operator="equal">
      <formula>0</formula>
    </cfRule>
  </conditionalFormatting>
  <conditionalFormatting sqref="AA41:AL41 K41:V41">
    <cfRule type="expression" dxfId="619" priority="776">
      <formula>ISNUMBER(K41)</formula>
    </cfRule>
  </conditionalFormatting>
  <conditionalFormatting sqref="B41:J41 W41:Z41">
    <cfRule type="expression" dxfId="618" priority="783">
      <formula>OR($BC41="1000 контактов",$BC41="Секунда",$BC41="Контакты")</formula>
    </cfRule>
  </conditionalFormatting>
  <conditionalFormatting sqref="J41">
    <cfRule type="expression" dxfId="617" priority="780">
      <formula>J41&lt;&gt;$BH41</formula>
    </cfRule>
  </conditionalFormatting>
  <conditionalFormatting sqref="I41">
    <cfRule type="expression" dxfId="616" priority="779">
      <formula>I41&lt;&gt;$BG41</formula>
    </cfRule>
  </conditionalFormatting>
  <conditionalFormatting sqref="K41:V41">
    <cfRule type="expression" dxfId="615" priority="777">
      <formula>NOT(OR(ISBLANK(K41),ISNUMBER(K41)))</formula>
    </cfRule>
  </conditionalFormatting>
  <conditionalFormatting sqref="AA41:AM41 K41:V41">
    <cfRule type="expression" dxfId="614" priority="778">
      <formula>NOT(OR($BC41="1000 контактов",$BC41="Секунда",$BC41="Контакты"))</formula>
    </cfRule>
    <cfRule type="expression" dxfId="613" priority="781">
      <formula>OR($BC41="1000 контактов",$BC41="Секунда",$BC41="Контакты")</formula>
    </cfRule>
  </conditionalFormatting>
  <conditionalFormatting sqref="Z41">
    <cfRule type="cellIs" dxfId="612" priority="782" operator="notEqual">
      <formula>0</formula>
    </cfRule>
  </conditionalFormatting>
  <conditionalFormatting sqref="Z42">
    <cfRule type="cellIs" dxfId="611" priority="775" operator="equal">
      <formula>0</formula>
    </cfRule>
  </conditionalFormatting>
  <conditionalFormatting sqref="AA42:AL42 K42:V42">
    <cfRule type="expression" dxfId="610" priority="767">
      <formula>ISNUMBER(K42)</formula>
    </cfRule>
  </conditionalFormatting>
  <conditionalFormatting sqref="B42:J42 W42:Z42">
    <cfRule type="expression" dxfId="609" priority="774">
      <formula>OR($BC42="1000 контактов",$BC42="Секунда",$BC42="Контакты")</formula>
    </cfRule>
  </conditionalFormatting>
  <conditionalFormatting sqref="J42">
    <cfRule type="expression" dxfId="608" priority="771">
      <formula>J42&lt;&gt;$BH42</formula>
    </cfRule>
  </conditionalFormatting>
  <conditionalFormatting sqref="I42">
    <cfRule type="expression" dxfId="607" priority="770">
      <formula>I42&lt;&gt;$BG42</formula>
    </cfRule>
  </conditionalFormatting>
  <conditionalFormatting sqref="K42:V42">
    <cfRule type="expression" dxfId="606" priority="768">
      <formula>NOT(OR(ISBLANK(K42),ISNUMBER(K42)))</formula>
    </cfRule>
  </conditionalFormatting>
  <conditionalFormatting sqref="AA42:AM42 K42:V42">
    <cfRule type="expression" dxfId="605" priority="769">
      <formula>NOT(OR($BC42="1000 контактов",$BC42="Секунда",$BC42="Контакты"))</formula>
    </cfRule>
    <cfRule type="expression" dxfId="604" priority="772">
      <formula>OR($BC42="1000 контактов",$BC42="Секунда",$BC42="Контакты")</formula>
    </cfRule>
  </conditionalFormatting>
  <conditionalFormatting sqref="Z42">
    <cfRule type="cellIs" dxfId="603" priority="773" operator="notEqual">
      <formula>0</formula>
    </cfRule>
  </conditionalFormatting>
  <conditionalFormatting sqref="Z43">
    <cfRule type="cellIs" dxfId="602" priority="766" operator="equal">
      <formula>0</formula>
    </cfRule>
  </conditionalFormatting>
  <conditionalFormatting sqref="AA43:AL43 K43:V43">
    <cfRule type="expression" dxfId="601" priority="758">
      <formula>ISNUMBER(K43)</formula>
    </cfRule>
  </conditionalFormatting>
  <conditionalFormatting sqref="B43:J43 W43:Z43">
    <cfRule type="expression" dxfId="600" priority="765">
      <formula>OR($BC43="1000 контактов",$BC43="Секунда",$BC43="Контакты")</formula>
    </cfRule>
  </conditionalFormatting>
  <conditionalFormatting sqref="J43">
    <cfRule type="expression" dxfId="599" priority="762">
      <formula>J43&lt;&gt;$BH43</formula>
    </cfRule>
  </conditionalFormatting>
  <conditionalFormatting sqref="I43">
    <cfRule type="expression" dxfId="598" priority="761">
      <formula>I43&lt;&gt;$BG43</formula>
    </cfRule>
  </conditionalFormatting>
  <conditionalFormatting sqref="K43:V43">
    <cfRule type="expression" dxfId="597" priority="759">
      <formula>NOT(OR(ISBLANK(K43),ISNUMBER(K43)))</formula>
    </cfRule>
  </conditionalFormatting>
  <conditionalFormatting sqref="AA43:AM43 K43:V43">
    <cfRule type="expression" dxfId="596" priority="760">
      <formula>NOT(OR($BC43="1000 контактов",$BC43="Секунда",$BC43="Контакты"))</formula>
    </cfRule>
    <cfRule type="expression" dxfId="595" priority="763">
      <formula>OR($BC43="1000 контактов",$BC43="Секунда",$BC43="Контакты")</formula>
    </cfRule>
  </conditionalFormatting>
  <conditionalFormatting sqref="Z43">
    <cfRule type="cellIs" dxfId="594" priority="764" operator="notEqual">
      <formula>0</formula>
    </cfRule>
  </conditionalFormatting>
  <conditionalFormatting sqref="Z336">
    <cfRule type="cellIs" dxfId="593" priority="748" operator="equal">
      <formula>0</formula>
    </cfRule>
  </conditionalFormatting>
  <conditionalFormatting sqref="AA336:AL336 K336:V336">
    <cfRule type="expression" dxfId="592" priority="740">
      <formula>ISNUMBER(K336)</formula>
    </cfRule>
  </conditionalFormatting>
  <conditionalFormatting sqref="B336:J336 W336:Z336">
    <cfRule type="expression" dxfId="591" priority="747">
      <formula>OR($BC336="1000 контактов",$BC336="Секунда",$BC336="Контакты")</formula>
    </cfRule>
  </conditionalFormatting>
  <conditionalFormatting sqref="J336">
    <cfRule type="expression" dxfId="590" priority="744">
      <formula>J336&lt;&gt;$BH336</formula>
    </cfRule>
  </conditionalFormatting>
  <conditionalFormatting sqref="I336">
    <cfRule type="expression" dxfId="589" priority="743">
      <formula>I336&lt;&gt;$BG336</formula>
    </cfRule>
  </conditionalFormatting>
  <conditionalFormatting sqref="K336:V336">
    <cfRule type="expression" dxfId="588" priority="741">
      <formula>NOT(OR(ISBLANK(K336),ISNUMBER(K336)))</formula>
    </cfRule>
  </conditionalFormatting>
  <conditionalFormatting sqref="AA336:AM336 K336:V336">
    <cfRule type="expression" dxfId="587" priority="742">
      <formula>NOT(OR($BC336="1000 контактов",$BC336="Секунда",$BC336="Контакты"))</formula>
    </cfRule>
    <cfRule type="expression" dxfId="586" priority="745">
      <formula>OR($BC336="1000 контактов",$BC336="Секунда",$BC336="Контакты")</formula>
    </cfRule>
  </conditionalFormatting>
  <conditionalFormatting sqref="Z336">
    <cfRule type="cellIs" dxfId="585" priority="746" operator="notEqual">
      <formula>0</formula>
    </cfRule>
  </conditionalFormatting>
  <conditionalFormatting sqref="Z339">
    <cfRule type="cellIs" dxfId="584" priority="730" operator="equal">
      <formula>0</formula>
    </cfRule>
  </conditionalFormatting>
  <conditionalFormatting sqref="AA339:AL339 K339:V339">
    <cfRule type="expression" dxfId="583" priority="722">
      <formula>ISNUMBER(K339)</formula>
    </cfRule>
  </conditionalFormatting>
  <conditionalFormatting sqref="B339:J339 W339:Z339">
    <cfRule type="expression" dxfId="582" priority="729">
      <formula>OR($BC339="1000 контактов",$BC339="Секунда",$BC339="Контакты")</formula>
    </cfRule>
  </conditionalFormatting>
  <conditionalFormatting sqref="J339">
    <cfRule type="expression" dxfId="581" priority="726">
      <formula>J339&lt;&gt;$BH339</formula>
    </cfRule>
  </conditionalFormatting>
  <conditionalFormatting sqref="I339">
    <cfRule type="expression" dxfId="580" priority="725">
      <formula>I339&lt;&gt;$BG339</formula>
    </cfRule>
  </conditionalFormatting>
  <conditionalFormatting sqref="K339:V339">
    <cfRule type="expression" dxfId="579" priority="723">
      <formula>NOT(OR(ISBLANK(K339),ISNUMBER(K339)))</formula>
    </cfRule>
  </conditionalFormatting>
  <conditionalFormatting sqref="AA339:AM339 K339:V339">
    <cfRule type="expression" dxfId="578" priority="724">
      <formula>NOT(OR($BC339="1000 контактов",$BC339="Секунда",$BC339="Контакты"))</formula>
    </cfRule>
    <cfRule type="expression" dxfId="577" priority="727">
      <formula>OR($BC339="1000 контактов",$BC339="Секунда",$BC339="Контакты")</formula>
    </cfRule>
  </conditionalFormatting>
  <conditionalFormatting sqref="Z339">
    <cfRule type="cellIs" dxfId="576" priority="728" operator="notEqual">
      <formula>0</formula>
    </cfRule>
  </conditionalFormatting>
  <conditionalFormatting sqref="Z318">
    <cfRule type="cellIs" dxfId="575" priority="712" operator="equal">
      <formula>0</formula>
    </cfRule>
  </conditionalFormatting>
  <conditionalFormatting sqref="AA318:AL318 K318:V318">
    <cfRule type="expression" dxfId="574" priority="704">
      <formula>ISNUMBER(K318)</formula>
    </cfRule>
  </conditionalFormatting>
  <conditionalFormatting sqref="B318:J318 W318:Z318">
    <cfRule type="expression" dxfId="573" priority="711">
      <formula>OR($BC318="1000 контактов",$BC318="Секунда",$BC318="Контакты")</formula>
    </cfRule>
  </conditionalFormatting>
  <conditionalFormatting sqref="J318">
    <cfRule type="expression" dxfId="572" priority="708">
      <formula>J318&lt;&gt;$BH318</formula>
    </cfRule>
  </conditionalFormatting>
  <conditionalFormatting sqref="I318">
    <cfRule type="expression" dxfId="571" priority="707">
      <formula>I318&lt;&gt;$BG318</formula>
    </cfRule>
  </conditionalFormatting>
  <conditionalFormatting sqref="K318:V318">
    <cfRule type="expression" dxfId="570" priority="705">
      <formula>NOT(OR(ISBLANK(K318),ISNUMBER(K318)))</formula>
    </cfRule>
  </conditionalFormatting>
  <conditionalFormatting sqref="K318:V318 AA318:AM318">
    <cfRule type="expression" dxfId="569" priority="706">
      <formula>NOT(OR($BC318="1000 контактов",$BC318="Секунда",$BC318="Контакты"))</formula>
    </cfRule>
    <cfRule type="expression" dxfId="568" priority="709">
      <formula>OR($BC318="1000 контактов",$BC318="Секунда",$BC318="Контакты")</formula>
    </cfRule>
  </conditionalFormatting>
  <conditionalFormatting sqref="Z318">
    <cfRule type="cellIs" dxfId="567" priority="710" operator="notEqual">
      <formula>0</formula>
    </cfRule>
  </conditionalFormatting>
  <conditionalFormatting sqref="Z262">
    <cfRule type="cellIs" dxfId="566" priority="685" operator="equal">
      <formula>0</formula>
    </cfRule>
  </conditionalFormatting>
  <conditionalFormatting sqref="AA262:AL262 K262:V262">
    <cfRule type="expression" dxfId="565" priority="677">
      <formula>ISNUMBER(K262)</formula>
    </cfRule>
  </conditionalFormatting>
  <conditionalFormatting sqref="B262:J262 W262:Z262">
    <cfRule type="expression" dxfId="564" priority="684">
      <formula>OR($BC262="1000 контактов",$BC262="Секунда",$BC262="Контакты")</formula>
    </cfRule>
  </conditionalFormatting>
  <conditionalFormatting sqref="J262">
    <cfRule type="expression" dxfId="563" priority="681">
      <formula>J262&lt;&gt;$BH262</formula>
    </cfRule>
  </conditionalFormatting>
  <conditionalFormatting sqref="I262">
    <cfRule type="expression" dxfId="562" priority="680">
      <formula>I262&lt;&gt;$BG262</formula>
    </cfRule>
  </conditionalFormatting>
  <conditionalFormatting sqref="K262:V262">
    <cfRule type="expression" dxfId="561" priority="678">
      <formula>NOT(OR(ISBLANK(K262),ISNUMBER(K262)))</formula>
    </cfRule>
  </conditionalFormatting>
  <conditionalFormatting sqref="AA262:AM262 K262:V262">
    <cfRule type="expression" dxfId="560" priority="679">
      <formula>NOT(OR($BC262="1000 контактов",$BC262="Секунда",$BC262="Контакты"))</formula>
    </cfRule>
    <cfRule type="expression" dxfId="559" priority="682">
      <formula>OR($BC262="1000 контактов",$BC262="Секунда",$BC262="Контакты")</formula>
    </cfRule>
  </conditionalFormatting>
  <conditionalFormatting sqref="Z262">
    <cfRule type="cellIs" dxfId="558" priority="683" operator="notEqual">
      <formula>0</formula>
    </cfRule>
  </conditionalFormatting>
  <conditionalFormatting sqref="K68:V71 K83:V90 K105:V107 K114:V119 K121:V126 K137:V144 K158:V165 K178:V186 K207:V209 K211:V226 K228:V232 K245:V247 K254:V256 K280:V281 K285:V286 K291:V296 K298:V303 K305:V308 K310:V313 AA310:AM313 AA305:AM308 AA298:AM303 AA291:AM296 AA285:AM286 AA280:AM281 AA254:AM256 AA245:AM247 Z228 AA228:AM232 AA211:AM226 AA207:AM209 AA178:AM186 AA158:AM165 AA137:AM144 AA121:AM126 AA114:AM119 AA105:AM107 AA83:AN90 AA68:AM71 AA79:AM81 K79:V81 AA112:AM112 K112:V112 AA102:AM103 K102:V103 K146:V156 AA146:AM156 K128:V132 AA128:AM132 K258:V263 AA258:AM263 AA192:AM205 K192:V205 K167:V176 AA167:AM176 K328:V340 AA328:AM340 K12:V19 AA12:AM19 K249:V252 AA249:AM252 K273:V276 AA273:AM276 AA278:AM278 K278:V278 AA76:AM76 K76:V76 K64:V66 AA64:AM66 AA93:AN100 K93:V100 AA283:AM283 K283:V283 AA236:AM243 K236:V243 AA36:AM50 K36:V50 AA317:AM326 K317:V326 AA288:AM289 K288:V289 AA73:AM74 K73:V74 AA134:AM135 K134:V135 AA267:AM271 K267:V271">
    <cfRule type="expression" dxfId="557" priority="1064">
      <formula>NOT(OR($BC12="1000 контактов",$BC12="Секунда",$BC12="Контакты"))</formula>
    </cfRule>
  </conditionalFormatting>
  <conditionalFormatting sqref="Z77">
    <cfRule type="cellIs" dxfId="556" priority="676" operator="equal">
      <formula>0</formula>
    </cfRule>
  </conditionalFormatting>
  <conditionalFormatting sqref="K77:V77 AA77:AL77">
    <cfRule type="expression" dxfId="555" priority="668">
      <formula>ISNUMBER(K77)</formula>
    </cfRule>
  </conditionalFormatting>
  <conditionalFormatting sqref="W77:Z77 B77:J77">
    <cfRule type="expression" dxfId="554" priority="675">
      <formula>OR($BC77="1000 контактов",$BC77="Секунда",$BC77="Контакты")</formula>
    </cfRule>
  </conditionalFormatting>
  <conditionalFormatting sqref="J77">
    <cfRule type="expression" dxfId="553" priority="672">
      <formula>J77&lt;&gt;$BH77</formula>
    </cfRule>
  </conditionalFormatting>
  <conditionalFormatting sqref="I77">
    <cfRule type="expression" dxfId="552" priority="671">
      <formula>I77&lt;&gt;$BG77</formula>
    </cfRule>
  </conditionalFormatting>
  <conditionalFormatting sqref="K77:V77">
    <cfRule type="expression" dxfId="551" priority="669">
      <formula>NOT(OR(ISBLANK(K77),ISNUMBER(K77)))</formula>
    </cfRule>
  </conditionalFormatting>
  <conditionalFormatting sqref="K77:V77 AA77:AM77">
    <cfRule type="expression" dxfId="550" priority="673">
      <formula>OR($BC77="1000 контактов",$BC77="Секунда",$BC77="Контакты")</formula>
    </cfRule>
  </conditionalFormatting>
  <conditionalFormatting sqref="Z77">
    <cfRule type="cellIs" dxfId="549" priority="674" operator="notEqual">
      <formula>0</formula>
    </cfRule>
  </conditionalFormatting>
  <conditionalFormatting sqref="K77:V77 AA77:AM77">
    <cfRule type="expression" dxfId="548" priority="670">
      <formula>NOT(OR($BC77="1000 контактов",$BC77="Секунда",$BC77="Контакты"))</formula>
    </cfRule>
  </conditionalFormatting>
  <conditionalFormatting sqref="Z78">
    <cfRule type="cellIs" dxfId="547" priority="667" operator="equal">
      <formula>0</formula>
    </cfRule>
  </conditionalFormatting>
  <conditionalFormatting sqref="K78:V78 AA78:AL78">
    <cfRule type="expression" dxfId="546" priority="659">
      <formula>ISNUMBER(K78)</formula>
    </cfRule>
  </conditionalFormatting>
  <conditionalFormatting sqref="W78:Z78 B78:J78">
    <cfRule type="expression" dxfId="545" priority="666">
      <formula>OR($BC78="1000 контактов",$BC78="Секунда",$BC78="Контакты")</formula>
    </cfRule>
  </conditionalFormatting>
  <conditionalFormatting sqref="J78">
    <cfRule type="expression" dxfId="544" priority="663">
      <formula>J78&lt;&gt;$BH78</formula>
    </cfRule>
  </conditionalFormatting>
  <conditionalFormatting sqref="I78">
    <cfRule type="expression" dxfId="543" priority="662">
      <formula>I78&lt;&gt;$BG78</formula>
    </cfRule>
  </conditionalFormatting>
  <conditionalFormatting sqref="K78:V78">
    <cfRule type="expression" dxfId="542" priority="660">
      <formula>NOT(OR(ISBLANK(K78),ISNUMBER(K78)))</formula>
    </cfRule>
  </conditionalFormatting>
  <conditionalFormatting sqref="K78:V78 AA78:AM78">
    <cfRule type="expression" dxfId="541" priority="664">
      <formula>OR($BC78="1000 контактов",$BC78="Секунда",$BC78="Контакты")</formula>
    </cfRule>
  </conditionalFormatting>
  <conditionalFormatting sqref="Z78">
    <cfRule type="cellIs" dxfId="540" priority="665" operator="notEqual">
      <formula>0</formula>
    </cfRule>
  </conditionalFormatting>
  <conditionalFormatting sqref="K78:V78 AA78:AM78">
    <cfRule type="expression" dxfId="539" priority="661">
      <formula>NOT(OR($BC78="1000 контактов",$BC78="Секунда",$BC78="Контакты"))</formula>
    </cfRule>
  </conditionalFormatting>
  <conditionalFormatting sqref="Z109">
    <cfRule type="cellIs" dxfId="538" priority="631" operator="equal">
      <formula>0</formula>
    </cfRule>
  </conditionalFormatting>
  <conditionalFormatting sqref="AA109:AL109 K109:V109">
    <cfRule type="expression" dxfId="537" priority="626">
      <formula>ISNUMBER(K109)</formula>
    </cfRule>
  </conditionalFormatting>
  <conditionalFormatting sqref="K109:V109">
    <cfRule type="expression" dxfId="536" priority="627">
      <formula>NOT(OR(ISBLANK(K109),ISNUMBER(K109)))</formula>
    </cfRule>
  </conditionalFormatting>
  <conditionalFormatting sqref="K109:V109 AA109:AM109">
    <cfRule type="expression" dxfId="535" priority="629">
      <formula>OR($BC109="1000 контактов",$BC109="Секунда",$BC109="Контакты")</formula>
    </cfRule>
  </conditionalFormatting>
  <conditionalFormatting sqref="Z109">
    <cfRule type="cellIs" dxfId="534" priority="630" operator="notEqual">
      <formula>0</formula>
    </cfRule>
  </conditionalFormatting>
  <conditionalFormatting sqref="B109:J109 W109 Y109:Z109">
    <cfRule type="expression" dxfId="533" priority="625">
      <formula>OR($BC109="1000 контактов",$BC109="Секунда",$BC109="Контакты")</formula>
    </cfRule>
  </conditionalFormatting>
  <conditionalFormatting sqref="J109">
    <cfRule type="expression" dxfId="532" priority="623">
      <formula>J109&lt;&gt;$BH109</formula>
    </cfRule>
  </conditionalFormatting>
  <conditionalFormatting sqref="I109">
    <cfRule type="expression" dxfId="531" priority="622">
      <formula>I109&lt;&gt;$BG109</formula>
    </cfRule>
  </conditionalFormatting>
  <conditionalFormatting sqref="AA109:AM109 K109:V109">
    <cfRule type="expression" dxfId="530" priority="621">
      <formula>NOT(OR($BC109="1000 контактов",$BC109="Секунда",$BC109="Контакты"))</formula>
    </cfRule>
    <cfRule type="expression" dxfId="529" priority="624">
      <formula>OR($BC109="1000 контактов",$BC109="Секунда",$BC109="Контакты")</formula>
    </cfRule>
  </conditionalFormatting>
  <conditionalFormatting sqref="X109">
    <cfRule type="expression" dxfId="528" priority="620">
      <formula>OR($BC109="1000 контактов",$BC109="Секунда",$BC109="Контакты")</formula>
    </cfRule>
  </conditionalFormatting>
  <conditionalFormatting sqref="K109:V109 AA109:AM109">
    <cfRule type="expression" dxfId="527" priority="628">
      <formula>NOT(OR($BC109="1000 контактов",$BC109="Секунда",$BC109="Контакты"))</formula>
    </cfRule>
  </conditionalFormatting>
  <conditionalFormatting sqref="Z111">
    <cfRule type="cellIs" dxfId="526" priority="619" operator="equal">
      <formula>0</formula>
    </cfRule>
  </conditionalFormatting>
  <conditionalFormatting sqref="AA111:AL111 K111:V111">
    <cfRule type="expression" dxfId="525" priority="614">
      <formula>ISNUMBER(K111)</formula>
    </cfRule>
  </conditionalFormatting>
  <conditionalFormatting sqref="K111:V111">
    <cfRule type="expression" dxfId="524" priority="615">
      <formula>NOT(OR(ISBLANK(K111),ISNUMBER(K111)))</formula>
    </cfRule>
  </conditionalFormatting>
  <conditionalFormatting sqref="K111:V111 AA111:AM111">
    <cfRule type="expression" dxfId="523" priority="617">
      <formula>OR($BC111="1000 контактов",$BC111="Секунда",$BC111="Контакты")</formula>
    </cfRule>
  </conditionalFormatting>
  <conditionalFormatting sqref="Z111">
    <cfRule type="cellIs" dxfId="522" priority="618" operator="notEqual">
      <formula>0</formula>
    </cfRule>
  </conditionalFormatting>
  <conditionalFormatting sqref="B111:J111 W111 Y111:Z111">
    <cfRule type="expression" dxfId="521" priority="613">
      <formula>OR($BC111="1000 контактов",$BC111="Секунда",$BC111="Контакты")</formula>
    </cfRule>
  </conditionalFormatting>
  <conditionalFormatting sqref="J111">
    <cfRule type="expression" dxfId="520" priority="611">
      <formula>J111&lt;&gt;$BH111</formula>
    </cfRule>
  </conditionalFormatting>
  <conditionalFormatting sqref="I111">
    <cfRule type="expression" dxfId="519" priority="610">
      <formula>I111&lt;&gt;$BG111</formula>
    </cfRule>
  </conditionalFormatting>
  <conditionalFormatting sqref="AA111:AM111 K111:V111">
    <cfRule type="expression" dxfId="518" priority="609">
      <formula>NOT(OR($BC111="1000 контактов",$BC111="Секунда",$BC111="Контакты"))</formula>
    </cfRule>
    <cfRule type="expression" dxfId="517" priority="612">
      <formula>OR($BC111="1000 контактов",$BC111="Секунда",$BC111="Контакты")</formula>
    </cfRule>
  </conditionalFormatting>
  <conditionalFormatting sqref="X111">
    <cfRule type="expression" dxfId="516" priority="608">
      <formula>OR($BC111="1000 контактов",$BC111="Секунда",$BC111="Контакты")</formula>
    </cfRule>
  </conditionalFormatting>
  <conditionalFormatting sqref="K111:V111 AA111:AM111">
    <cfRule type="expression" dxfId="515" priority="616">
      <formula>NOT(OR($BC111="1000 контактов",$BC111="Секунда",$BC111="Контакты"))</formula>
    </cfRule>
  </conditionalFormatting>
  <conditionalFormatting sqref="Z108">
    <cfRule type="cellIs" dxfId="514" priority="607" operator="equal">
      <formula>0</formula>
    </cfRule>
  </conditionalFormatting>
  <conditionalFormatting sqref="AA108:AL108 K108:V108">
    <cfRule type="expression" dxfId="513" priority="602">
      <formula>ISNUMBER(K108)</formula>
    </cfRule>
  </conditionalFormatting>
  <conditionalFormatting sqref="K108:V108">
    <cfRule type="expression" dxfId="512" priority="603">
      <formula>NOT(OR(ISBLANK(K108),ISNUMBER(K108)))</formula>
    </cfRule>
  </conditionalFormatting>
  <conditionalFormatting sqref="K108:V108 AA108:AM108">
    <cfRule type="expression" dxfId="511" priority="605">
      <formula>OR($BC108="1000 контактов",$BC108="Секунда",$BC108="Контакты")</formula>
    </cfRule>
  </conditionalFormatting>
  <conditionalFormatting sqref="Z108">
    <cfRule type="cellIs" dxfId="510" priority="606" operator="notEqual">
      <formula>0</formula>
    </cfRule>
  </conditionalFormatting>
  <conditionalFormatting sqref="B108:J108 W108 Y108:Z108">
    <cfRule type="expression" dxfId="509" priority="601">
      <formula>OR($BC108="1000 контактов",$BC108="Секунда",$BC108="Контакты")</formula>
    </cfRule>
  </conditionalFormatting>
  <conditionalFormatting sqref="J108">
    <cfRule type="expression" dxfId="508" priority="599">
      <formula>J108&lt;&gt;$BH108</formula>
    </cfRule>
  </conditionalFormatting>
  <conditionalFormatting sqref="I108">
    <cfRule type="expression" dxfId="507" priority="598">
      <formula>I108&lt;&gt;$BG108</formula>
    </cfRule>
  </conditionalFormatting>
  <conditionalFormatting sqref="AA108:AM108 K108:V108">
    <cfRule type="expression" dxfId="506" priority="597">
      <formula>NOT(OR($BC108="1000 контактов",$BC108="Секунда",$BC108="Контакты"))</formula>
    </cfRule>
    <cfRule type="expression" dxfId="505" priority="600">
      <formula>OR($BC108="1000 контактов",$BC108="Секунда",$BC108="Контакты")</formula>
    </cfRule>
  </conditionalFormatting>
  <conditionalFormatting sqref="X108">
    <cfRule type="expression" dxfId="504" priority="596">
      <formula>OR($BC108="1000 контактов",$BC108="Секунда",$BC108="Контакты")</formula>
    </cfRule>
  </conditionalFormatting>
  <conditionalFormatting sqref="K108:V108 AA108:AM108">
    <cfRule type="expression" dxfId="503" priority="604">
      <formula>NOT(OR($BC108="1000 контактов",$BC108="Секунда",$BC108="Контакты"))</formula>
    </cfRule>
  </conditionalFormatting>
  <conditionalFormatting sqref="Z110">
    <cfRule type="cellIs" dxfId="502" priority="595" operator="equal">
      <formula>0</formula>
    </cfRule>
  </conditionalFormatting>
  <conditionalFormatting sqref="AA110:AL110 K110:V110">
    <cfRule type="expression" dxfId="501" priority="590">
      <formula>ISNUMBER(K110)</formula>
    </cfRule>
  </conditionalFormatting>
  <conditionalFormatting sqref="K110:V110">
    <cfRule type="expression" dxfId="500" priority="591">
      <formula>NOT(OR(ISBLANK(K110),ISNUMBER(K110)))</formula>
    </cfRule>
  </conditionalFormatting>
  <conditionalFormatting sqref="K110:V110 AA110:AM110">
    <cfRule type="expression" dxfId="499" priority="593">
      <formula>OR($BC110="1000 контактов",$BC110="Секунда",$BC110="Контакты")</formula>
    </cfRule>
  </conditionalFormatting>
  <conditionalFormatting sqref="Z110">
    <cfRule type="cellIs" dxfId="498" priority="594" operator="notEqual">
      <formula>0</formula>
    </cfRule>
  </conditionalFormatting>
  <conditionalFormatting sqref="B110:J110 W110 Y110:Z110">
    <cfRule type="expression" dxfId="497" priority="589">
      <formula>OR($BC110="1000 контактов",$BC110="Секунда",$BC110="Контакты")</formula>
    </cfRule>
  </conditionalFormatting>
  <conditionalFormatting sqref="J110">
    <cfRule type="expression" dxfId="496" priority="587">
      <formula>J110&lt;&gt;$BH110</formula>
    </cfRule>
  </conditionalFormatting>
  <conditionalFormatting sqref="I110">
    <cfRule type="expression" dxfId="495" priority="586">
      <formula>I110&lt;&gt;$BG110</formula>
    </cfRule>
  </conditionalFormatting>
  <conditionalFormatting sqref="AA110:AM110 K110:V110">
    <cfRule type="expression" dxfId="494" priority="585">
      <formula>NOT(OR($BC110="1000 контактов",$BC110="Секунда",$BC110="Контакты"))</formula>
    </cfRule>
    <cfRule type="expression" dxfId="493" priority="588">
      <formula>OR($BC110="1000 контактов",$BC110="Секунда",$BC110="Контакты")</formula>
    </cfRule>
  </conditionalFormatting>
  <conditionalFormatting sqref="X110">
    <cfRule type="expression" dxfId="492" priority="584">
      <formula>OR($BC110="1000 контактов",$BC110="Секунда",$BC110="Контакты")</formula>
    </cfRule>
  </conditionalFormatting>
  <conditionalFormatting sqref="K110:V110 AA110:AM110">
    <cfRule type="expression" dxfId="491" priority="592">
      <formula>NOT(OR($BC110="1000 контактов",$BC110="Секунда",$BC110="Контакты"))</formula>
    </cfRule>
  </conditionalFormatting>
  <conditionalFormatting sqref="Z187">
    <cfRule type="cellIs" dxfId="490" priority="563" operator="equal">
      <formula>0</formula>
    </cfRule>
  </conditionalFormatting>
  <conditionalFormatting sqref="AA187:AL187 K187:V187">
    <cfRule type="expression" dxfId="489" priority="555">
      <formula>ISNUMBER(K187)</formula>
    </cfRule>
  </conditionalFormatting>
  <conditionalFormatting sqref="B187:J187 W187:Z187">
    <cfRule type="expression" dxfId="488" priority="562">
      <formula>OR($BC187="1000 контактов",$BC187="Секунда",$BC187="Контакты")</formula>
    </cfRule>
  </conditionalFormatting>
  <conditionalFormatting sqref="J187">
    <cfRule type="expression" dxfId="487" priority="559">
      <formula>J187&lt;&gt;$BH187</formula>
    </cfRule>
  </conditionalFormatting>
  <conditionalFormatting sqref="I187">
    <cfRule type="expression" dxfId="486" priority="558">
      <formula>I187&lt;&gt;$BG187</formula>
    </cfRule>
  </conditionalFormatting>
  <conditionalFormatting sqref="K187:V187">
    <cfRule type="expression" dxfId="485" priority="556">
      <formula>NOT(OR(ISBLANK(K187),ISNUMBER(K187)))</formula>
    </cfRule>
  </conditionalFormatting>
  <conditionalFormatting sqref="K187:V187 AA187:AM187">
    <cfRule type="expression" dxfId="484" priority="560">
      <formula>OR($BC187="1000 контактов",$BC187="Секунда",$BC187="Контакты")</formula>
    </cfRule>
  </conditionalFormatting>
  <conditionalFormatting sqref="Z187">
    <cfRule type="cellIs" dxfId="483" priority="561" operator="notEqual">
      <formula>0</formula>
    </cfRule>
  </conditionalFormatting>
  <conditionalFormatting sqref="K187:V187 AA187:AM187">
    <cfRule type="expression" dxfId="482" priority="557">
      <formula>NOT(OR($BC187="1000 контактов",$BC187="Секунда",$BC187="Контакты"))</formula>
    </cfRule>
  </conditionalFormatting>
  <conditionalFormatting sqref="B188:J188 W188:Z188">
    <cfRule type="expression" dxfId="481" priority="553">
      <formula>OR($BC188="1000 контактов",$BC188="Секунда",$BC188="Контакты")</formula>
    </cfRule>
  </conditionalFormatting>
  <conditionalFormatting sqref="Z188">
    <cfRule type="cellIs" dxfId="480" priority="554" operator="equal">
      <formula>0</formula>
    </cfRule>
  </conditionalFormatting>
  <conditionalFormatting sqref="AA188:AL188 K188:V188">
    <cfRule type="expression" dxfId="479" priority="546">
      <formula>ISNUMBER(K188)</formula>
    </cfRule>
  </conditionalFormatting>
  <conditionalFormatting sqref="B190:J190 W190:Z190">
    <cfRule type="expression" dxfId="478" priority="544">
      <formula>OR($BC190="1000 контактов",$BC190="Секунда",$BC190="Контакты")</formula>
    </cfRule>
  </conditionalFormatting>
  <conditionalFormatting sqref="J188">
    <cfRule type="expression" dxfId="477" priority="550">
      <formula>J188&lt;&gt;$BH188</formula>
    </cfRule>
  </conditionalFormatting>
  <conditionalFormatting sqref="I188">
    <cfRule type="expression" dxfId="476" priority="549">
      <formula>I188&lt;&gt;$BG188</formula>
    </cfRule>
  </conditionalFormatting>
  <conditionalFormatting sqref="K188:V188">
    <cfRule type="expression" dxfId="475" priority="547">
      <formula>NOT(OR(ISBLANK(K188),ISNUMBER(K188)))</formula>
    </cfRule>
  </conditionalFormatting>
  <conditionalFormatting sqref="K188:V188 AA188:AM188">
    <cfRule type="expression" dxfId="474" priority="551">
      <formula>OR($BC188="1000 контактов",$BC188="Секунда",$BC188="Контакты")</formula>
    </cfRule>
  </conditionalFormatting>
  <conditionalFormatting sqref="Z188">
    <cfRule type="cellIs" dxfId="473" priority="552" operator="notEqual">
      <formula>0</formula>
    </cfRule>
  </conditionalFormatting>
  <conditionalFormatting sqref="K188:V188 AA188:AM188">
    <cfRule type="expression" dxfId="472" priority="548">
      <formula>NOT(OR($BC188="1000 контактов",$BC188="Секунда",$BC188="Контакты"))</formula>
    </cfRule>
  </conditionalFormatting>
  <conditionalFormatting sqref="Z190">
    <cfRule type="cellIs" dxfId="471" priority="545" operator="equal">
      <formula>0</formula>
    </cfRule>
  </conditionalFormatting>
  <conditionalFormatting sqref="AA190:AL190 K190:V190">
    <cfRule type="expression" dxfId="470" priority="537">
      <formula>ISNUMBER(K190)</formula>
    </cfRule>
  </conditionalFormatting>
  <conditionalFormatting sqref="J190">
    <cfRule type="expression" dxfId="469" priority="541">
      <formula>J190&lt;&gt;$BH190</formula>
    </cfRule>
  </conditionalFormatting>
  <conditionalFormatting sqref="I190">
    <cfRule type="expression" dxfId="468" priority="540">
      <formula>I190&lt;&gt;$BG190</formula>
    </cfRule>
  </conditionalFormatting>
  <conditionalFormatting sqref="K190:V190">
    <cfRule type="expression" dxfId="467" priority="538">
      <formula>NOT(OR(ISBLANK(K190),ISNUMBER(K190)))</formula>
    </cfRule>
  </conditionalFormatting>
  <conditionalFormatting sqref="K190:V190 AA190:AM190">
    <cfRule type="expression" dxfId="466" priority="542">
      <formula>OR($BC190="1000 контактов",$BC190="Секунда",$BC190="Контакты")</formula>
    </cfRule>
  </conditionalFormatting>
  <conditionalFormatting sqref="Z190">
    <cfRule type="cellIs" dxfId="465" priority="543" operator="notEqual">
      <formula>0</formula>
    </cfRule>
  </conditionalFormatting>
  <conditionalFormatting sqref="K190:V190 AA190:AM190">
    <cfRule type="expression" dxfId="464" priority="539">
      <formula>NOT(OR($BC190="1000 контактов",$BC190="Секунда",$BC190="Контакты"))</formula>
    </cfRule>
  </conditionalFormatting>
  <conditionalFormatting sqref="Z191">
    <cfRule type="cellIs" dxfId="463" priority="536" operator="equal">
      <formula>0</formula>
    </cfRule>
  </conditionalFormatting>
  <conditionalFormatting sqref="AA191:AL191 K191:V191">
    <cfRule type="expression" dxfId="462" priority="528">
      <formula>ISNUMBER(K191)</formula>
    </cfRule>
  </conditionalFormatting>
  <conditionalFormatting sqref="B191:J191 W191:Z191">
    <cfRule type="expression" dxfId="461" priority="535">
      <formula>OR($BC191="1000 контактов",$BC191="Секунда",$BC191="Контакты")</formula>
    </cfRule>
  </conditionalFormatting>
  <conditionalFormatting sqref="J191">
    <cfRule type="expression" dxfId="460" priority="532">
      <formula>J191&lt;&gt;$BH191</formula>
    </cfRule>
  </conditionalFormatting>
  <conditionalFormatting sqref="I191">
    <cfRule type="expression" dxfId="459" priority="531">
      <formula>I191&lt;&gt;$BG191</formula>
    </cfRule>
  </conditionalFormatting>
  <conditionalFormatting sqref="K191:V191">
    <cfRule type="expression" dxfId="458" priority="529">
      <formula>NOT(OR(ISBLANK(K191),ISNUMBER(K191)))</formula>
    </cfRule>
  </conditionalFormatting>
  <conditionalFormatting sqref="K191:V191 AA191:AM191">
    <cfRule type="expression" dxfId="457" priority="533">
      <formula>OR($BC191="1000 контактов",$BC191="Секунда",$BC191="Контакты")</formula>
    </cfRule>
  </conditionalFormatting>
  <conditionalFormatting sqref="Z191">
    <cfRule type="cellIs" dxfId="456" priority="534" operator="notEqual">
      <formula>0</formula>
    </cfRule>
  </conditionalFormatting>
  <conditionalFormatting sqref="K191:V191 AA191:AM191">
    <cfRule type="expression" dxfId="455" priority="530">
      <formula>NOT(OR($BC191="1000 контактов",$BC191="Секунда",$BC191="Контакты"))</formula>
    </cfRule>
  </conditionalFormatting>
  <conditionalFormatting sqref="Z272:Z276">
    <cfRule type="cellIs" dxfId="454" priority="527" operator="equal">
      <formula>0</formula>
    </cfRule>
  </conditionalFormatting>
  <conditionalFormatting sqref="AA273:AL276 K273:V276">
    <cfRule type="expression" dxfId="453" priority="517">
      <formula>ISNUMBER(K273)</formula>
    </cfRule>
  </conditionalFormatting>
  <conditionalFormatting sqref="B272:C272">
    <cfRule type="expression" dxfId="452" priority="524">
      <formula>$AX272&gt;0</formula>
    </cfRule>
  </conditionalFormatting>
  <conditionalFormatting sqref="B273:J276 W273:Z276">
    <cfRule type="expression" dxfId="451" priority="526">
      <formula>OR($BC273="1000 контактов",$BC273="Секунда",$BC273="Контакты")</formula>
    </cfRule>
  </conditionalFormatting>
  <conditionalFormatting sqref="Y272">
    <cfRule type="expression" dxfId="450" priority="516">
      <formula>Y272=INDEX(indDiscMaxX,MATCH($AN272,indPrefixX,0))</formula>
    </cfRule>
    <cfRule type="expression" dxfId="449" priority="522">
      <formula>Y272&lt;&gt;$BE272</formula>
    </cfRule>
  </conditionalFormatting>
  <conditionalFormatting sqref="J272:J276">
    <cfRule type="expression" dxfId="448" priority="521">
      <formula>J272&lt;&gt;$BH272</formula>
    </cfRule>
  </conditionalFormatting>
  <conditionalFormatting sqref="I272:I276">
    <cfRule type="expression" dxfId="447" priority="520">
      <formula>I272&lt;&gt;$BG272</formula>
    </cfRule>
  </conditionalFormatting>
  <conditionalFormatting sqref="K273:V276">
    <cfRule type="expression" dxfId="446" priority="518">
      <formula>NOT(OR(ISBLANK(K273),ISNUMBER(K273)))</formula>
    </cfRule>
  </conditionalFormatting>
  <conditionalFormatting sqref="Z272:Z276">
    <cfRule type="cellIs" dxfId="445" priority="525" operator="notEqual">
      <formula>0</formula>
    </cfRule>
  </conditionalFormatting>
  <conditionalFormatting sqref="K277:V277 AA277:AM277">
    <cfRule type="expression" dxfId="444" priority="506">
      <formula>OR($BC277="1000 контактов",$BC277="Секунда",$BC277="Контакты")</formula>
    </cfRule>
  </conditionalFormatting>
  <conditionalFormatting sqref="K277:V277 AA277:AM277">
    <cfRule type="expression" dxfId="443" priority="505">
      <formula>NOT(OR($BC277="1000 контактов",$BC277="Секунда",$BC277="Контакты"))</formula>
    </cfRule>
  </conditionalFormatting>
  <conditionalFormatting sqref="Z277">
    <cfRule type="cellIs" dxfId="442" priority="504" operator="equal">
      <formula>0</formula>
    </cfRule>
  </conditionalFormatting>
  <conditionalFormatting sqref="AA277:AL277 K277:V277">
    <cfRule type="expression" dxfId="441" priority="498">
      <formula>ISNUMBER(K277)</formula>
    </cfRule>
  </conditionalFormatting>
  <conditionalFormatting sqref="B277:J277 W277:Z277">
    <cfRule type="expression" dxfId="440" priority="503">
      <formula>OR($BC277="1000 контактов",$BC277="Секунда",$BC277="Контакты")</formula>
    </cfRule>
  </conditionalFormatting>
  <conditionalFormatting sqref="J277">
    <cfRule type="expression" dxfId="439" priority="501">
      <formula>J277&lt;&gt;$BH277</formula>
    </cfRule>
  </conditionalFormatting>
  <conditionalFormatting sqref="I277">
    <cfRule type="expression" dxfId="438" priority="500">
      <formula>I277&lt;&gt;$BG277</formula>
    </cfRule>
  </conditionalFormatting>
  <conditionalFormatting sqref="K277:V277">
    <cfRule type="expression" dxfId="437" priority="499">
      <formula>NOT(OR(ISBLANK(K277),ISNUMBER(K277)))</formula>
    </cfRule>
  </conditionalFormatting>
  <conditionalFormatting sqref="Z277">
    <cfRule type="cellIs" dxfId="436" priority="502" operator="notEqual">
      <formula>0</formula>
    </cfRule>
  </conditionalFormatting>
  <conditionalFormatting sqref="Z75">
    <cfRule type="cellIs" dxfId="435" priority="497" operator="equal">
      <formula>0</formula>
    </cfRule>
  </conditionalFormatting>
  <conditionalFormatting sqref="K75:V75 AA75:AL75">
    <cfRule type="expression" dxfId="434" priority="489">
      <formula>ISNUMBER(K75)</formula>
    </cfRule>
  </conditionalFormatting>
  <conditionalFormatting sqref="B75:J75 W75:Z75">
    <cfRule type="expression" dxfId="433" priority="496">
      <formula>OR($BC75="1000 контактов",$BC75="Секунда",$BC75="Контакты")</formula>
    </cfRule>
  </conditionalFormatting>
  <conditionalFormatting sqref="J75">
    <cfRule type="expression" dxfId="432" priority="493">
      <formula>J75&lt;&gt;$BH75</formula>
    </cfRule>
  </conditionalFormatting>
  <conditionalFormatting sqref="I75">
    <cfRule type="expression" dxfId="431" priority="492">
      <formula>I75&lt;&gt;$BG75</formula>
    </cfRule>
  </conditionalFormatting>
  <conditionalFormatting sqref="K75:V75">
    <cfRule type="expression" dxfId="430" priority="490">
      <formula>NOT(OR(ISBLANK(K75),ISNUMBER(K75)))</formula>
    </cfRule>
  </conditionalFormatting>
  <conditionalFormatting sqref="K75:V75 AA75:AM75">
    <cfRule type="expression" dxfId="429" priority="494">
      <formula>OR($BC75="1000 контактов",$BC75="Секунда",$BC75="Контакты")</formula>
    </cfRule>
  </conditionalFormatting>
  <conditionalFormatting sqref="Z75">
    <cfRule type="cellIs" dxfId="428" priority="495" operator="notEqual">
      <formula>0</formula>
    </cfRule>
  </conditionalFormatting>
  <conditionalFormatting sqref="K75:V75 AA75:AM75">
    <cfRule type="expression" dxfId="427" priority="491">
      <formula>NOT(OR($BC75="1000 контактов",$BC75="Секунда",$BC75="Контакты"))</formula>
    </cfRule>
  </conditionalFormatting>
  <conditionalFormatting sqref="Z91">
    <cfRule type="cellIs" dxfId="426" priority="488" operator="equal">
      <formula>0</formula>
    </cfRule>
  </conditionalFormatting>
  <conditionalFormatting sqref="K91:V91 AA91:AL91">
    <cfRule type="expression" dxfId="425" priority="480">
      <formula>ISNUMBER(K91)</formula>
    </cfRule>
  </conditionalFormatting>
  <conditionalFormatting sqref="B91:J91 W91:Z91">
    <cfRule type="expression" dxfId="424" priority="487">
      <formula>OR($BC91="1000 контактов",$BC91="Секунда",$BC91="Контакты")</formula>
    </cfRule>
  </conditionalFormatting>
  <conditionalFormatting sqref="J91">
    <cfRule type="expression" dxfId="423" priority="484">
      <formula>J91&lt;&gt;$BH91</formula>
    </cfRule>
  </conditionalFormatting>
  <conditionalFormatting sqref="I91">
    <cfRule type="expression" dxfId="422" priority="483">
      <formula>I91&lt;&gt;$BG91</formula>
    </cfRule>
  </conditionalFormatting>
  <conditionalFormatting sqref="K91:V91">
    <cfRule type="expression" dxfId="421" priority="481">
      <formula>NOT(OR(ISBLANK(K91),ISNUMBER(K91)))</formula>
    </cfRule>
  </conditionalFormatting>
  <conditionalFormatting sqref="K91:V91 AA91:AM91">
    <cfRule type="expression" dxfId="420" priority="485">
      <formula>OR($BC91="1000 контактов",$BC91="Секунда",$BC91="Контакты")</formula>
    </cfRule>
  </conditionalFormatting>
  <conditionalFormatting sqref="Z91">
    <cfRule type="cellIs" dxfId="419" priority="486" operator="notEqual">
      <formula>0</formula>
    </cfRule>
  </conditionalFormatting>
  <conditionalFormatting sqref="K91:V91 AA91:AN91">
    <cfRule type="expression" dxfId="418" priority="482">
      <formula>NOT(OR($BC91="1000 контактов",$BC91="Секунда",$BC91="Контакты"))</formula>
    </cfRule>
  </conditionalFormatting>
  <conditionalFormatting sqref="Z92">
    <cfRule type="cellIs" dxfId="417" priority="479" operator="equal">
      <formula>0</formula>
    </cfRule>
  </conditionalFormatting>
  <conditionalFormatting sqref="K92:V92 AA92:AL92">
    <cfRule type="expression" dxfId="416" priority="471">
      <formula>ISNUMBER(K92)</formula>
    </cfRule>
  </conditionalFormatting>
  <conditionalFormatting sqref="B92:J92 W92:Z92">
    <cfRule type="expression" dxfId="415" priority="478">
      <formula>OR($BC92="1000 контактов",$BC92="Секунда",$BC92="Контакты")</formula>
    </cfRule>
  </conditionalFormatting>
  <conditionalFormatting sqref="J92">
    <cfRule type="expression" dxfId="414" priority="475">
      <formula>J92&lt;&gt;$BH92</formula>
    </cfRule>
  </conditionalFormatting>
  <conditionalFormatting sqref="I92">
    <cfRule type="expression" dxfId="413" priority="474">
      <formula>I92&lt;&gt;$BG92</formula>
    </cfRule>
  </conditionalFormatting>
  <conditionalFormatting sqref="K92:V92">
    <cfRule type="expression" dxfId="412" priority="472">
      <formula>NOT(OR(ISBLANK(K92),ISNUMBER(K92)))</formula>
    </cfRule>
  </conditionalFormatting>
  <conditionalFormatting sqref="K92:V92 AA92:AM92">
    <cfRule type="expression" dxfId="411" priority="476">
      <formula>OR($BC92="1000 контактов",$BC92="Секунда",$BC92="Контакты")</formula>
    </cfRule>
  </conditionalFormatting>
  <conditionalFormatting sqref="Z92">
    <cfRule type="cellIs" dxfId="410" priority="477" operator="notEqual">
      <formula>0</formula>
    </cfRule>
  </conditionalFormatting>
  <conditionalFormatting sqref="K92:V92 AA92:AN92">
    <cfRule type="expression" dxfId="409" priority="473">
      <formula>NOT(OR($BC92="1000 контактов",$BC92="Секунда",$BC92="Контакты"))</formula>
    </cfRule>
  </conditionalFormatting>
  <conditionalFormatting sqref="Z282">
    <cfRule type="cellIs" dxfId="408" priority="470" operator="equal">
      <formula>0</formula>
    </cfRule>
  </conditionalFormatting>
  <conditionalFormatting sqref="AA282:AL282 K282:V282">
    <cfRule type="expression" dxfId="407" priority="462">
      <formula>ISNUMBER(K282)</formula>
    </cfRule>
  </conditionalFormatting>
  <conditionalFormatting sqref="B282:J282 W282:Z282">
    <cfRule type="expression" dxfId="406" priority="469">
      <formula>OR($BC282="1000 контактов",$BC282="Секунда",$BC282="Контакты")</formula>
    </cfRule>
  </conditionalFormatting>
  <conditionalFormatting sqref="J282">
    <cfRule type="expression" dxfId="405" priority="466">
      <formula>J282&lt;&gt;$BH282</formula>
    </cfRule>
  </conditionalFormatting>
  <conditionalFormatting sqref="I282">
    <cfRule type="expression" dxfId="404" priority="465">
      <formula>I282&lt;&gt;$BG282</formula>
    </cfRule>
  </conditionalFormatting>
  <conditionalFormatting sqref="K282:V282">
    <cfRule type="expression" dxfId="403" priority="463">
      <formula>NOT(OR(ISBLANK(K282),ISNUMBER(K282)))</formula>
    </cfRule>
  </conditionalFormatting>
  <conditionalFormatting sqref="K282:V282 AA282:AM282">
    <cfRule type="expression" dxfId="402" priority="467">
      <formula>OR($BC282="1000 контактов",$BC282="Секунда",$BC282="Контакты")</formula>
    </cfRule>
  </conditionalFormatting>
  <conditionalFormatting sqref="Z282">
    <cfRule type="cellIs" dxfId="401" priority="468" operator="notEqual">
      <formula>0</formula>
    </cfRule>
  </conditionalFormatting>
  <conditionalFormatting sqref="K282:V282 AA282:AM282">
    <cfRule type="expression" dxfId="400" priority="464">
      <formula>NOT(OR($BC282="1000 контактов",$BC282="Секунда",$BC282="Контакты"))</formula>
    </cfRule>
  </conditionalFormatting>
  <conditionalFormatting sqref="Z233">
    <cfRule type="cellIs" dxfId="399" priority="461" operator="equal">
      <formula>0</formula>
    </cfRule>
  </conditionalFormatting>
  <conditionalFormatting sqref="AA233:AL233 K233:V233">
    <cfRule type="expression" dxfId="398" priority="453">
      <formula>ISNUMBER(K233)</formula>
    </cfRule>
  </conditionalFormatting>
  <conditionalFormatting sqref="B233:J233 W233 Y233:Z233">
    <cfRule type="expression" dxfId="397" priority="460">
      <formula>OR($BC233="1000 контактов",$BC233="Секунда",$BC233="Контакты")</formula>
    </cfRule>
  </conditionalFormatting>
  <conditionalFormatting sqref="J233">
    <cfRule type="expression" dxfId="396" priority="457">
      <formula>J233&lt;&gt;$BH233</formula>
    </cfRule>
  </conditionalFormatting>
  <conditionalFormatting sqref="I233">
    <cfRule type="expression" dxfId="395" priority="456">
      <formula>I233&lt;&gt;$BG233</formula>
    </cfRule>
  </conditionalFormatting>
  <conditionalFormatting sqref="K233:V233">
    <cfRule type="expression" dxfId="394" priority="454">
      <formula>NOT(OR(ISBLANK(K233),ISNUMBER(K233)))</formula>
    </cfRule>
  </conditionalFormatting>
  <conditionalFormatting sqref="K233:V233 AA233:AM233">
    <cfRule type="expression" dxfId="393" priority="458">
      <formula>OR($BC233="1000 контактов",$BC233="Секунда",$BC233="Контакты")</formula>
    </cfRule>
  </conditionalFormatting>
  <conditionalFormatting sqref="X233">
    <cfRule type="expression" dxfId="392" priority="452">
      <formula>OR($BC233="1000 контактов",$BC233="Секунда",$BC233="Контакты")</formula>
    </cfRule>
  </conditionalFormatting>
  <conditionalFormatting sqref="Z233">
    <cfRule type="cellIs" dxfId="391" priority="459" operator="notEqual">
      <formula>0</formula>
    </cfRule>
  </conditionalFormatting>
  <conditionalFormatting sqref="K233:V233 AA233:AM233">
    <cfRule type="expression" dxfId="390" priority="455">
      <formula>NOT(OR($BC233="1000 контактов",$BC233="Секунда",$BC233="Контакты"))</formula>
    </cfRule>
  </conditionalFormatting>
  <conditionalFormatting sqref="Z234">
    <cfRule type="cellIs" dxfId="389" priority="451" operator="equal">
      <formula>0</formula>
    </cfRule>
  </conditionalFormatting>
  <conditionalFormatting sqref="AA234:AL234 K234:V234">
    <cfRule type="expression" dxfId="388" priority="443">
      <formula>ISNUMBER(K234)</formula>
    </cfRule>
  </conditionalFormatting>
  <conditionalFormatting sqref="B234:J234 W234 Y234:Z234">
    <cfRule type="expression" dxfId="387" priority="450">
      <formula>OR($BC234="1000 контактов",$BC234="Секунда",$BC234="Контакты")</formula>
    </cfRule>
  </conditionalFormatting>
  <conditionalFormatting sqref="J234">
    <cfRule type="expression" dxfId="386" priority="447">
      <formula>J234&lt;&gt;$BH234</formula>
    </cfRule>
  </conditionalFormatting>
  <conditionalFormatting sqref="I234">
    <cfRule type="expression" dxfId="385" priority="446">
      <formula>I234&lt;&gt;$BG234</formula>
    </cfRule>
  </conditionalFormatting>
  <conditionalFormatting sqref="K234:V234">
    <cfRule type="expression" dxfId="384" priority="444">
      <formula>NOT(OR(ISBLANK(K234),ISNUMBER(K234)))</formula>
    </cfRule>
  </conditionalFormatting>
  <conditionalFormatting sqref="K234:V234 AA234:AM234">
    <cfRule type="expression" dxfId="383" priority="448">
      <formula>OR($BC234="1000 контактов",$BC234="Секунда",$BC234="Контакты")</formula>
    </cfRule>
  </conditionalFormatting>
  <conditionalFormatting sqref="X234">
    <cfRule type="expression" dxfId="382" priority="442">
      <formula>OR($BC234="1000 контактов",$BC234="Секунда",$BC234="Контакты")</formula>
    </cfRule>
  </conditionalFormatting>
  <conditionalFormatting sqref="Z234">
    <cfRule type="cellIs" dxfId="381" priority="449" operator="notEqual">
      <formula>0</formula>
    </cfRule>
  </conditionalFormatting>
  <conditionalFormatting sqref="K234:V234 AA234:AM234">
    <cfRule type="expression" dxfId="380" priority="445">
      <formula>NOT(OR($BC234="1000 контактов",$BC234="Секунда",$BC234="Контакты"))</formula>
    </cfRule>
  </conditionalFormatting>
  <conditionalFormatting sqref="Z235">
    <cfRule type="cellIs" dxfId="379" priority="441" operator="equal">
      <formula>0</formula>
    </cfRule>
  </conditionalFormatting>
  <conditionalFormatting sqref="AA235:AL235 K235:V235">
    <cfRule type="expression" dxfId="378" priority="433">
      <formula>ISNUMBER(K235)</formula>
    </cfRule>
  </conditionalFormatting>
  <conditionalFormatting sqref="B235:J235 W235 Y235:Z235">
    <cfRule type="expression" dxfId="377" priority="440">
      <formula>OR($BC235="1000 контактов",$BC235="Секунда",$BC235="Контакты")</formula>
    </cfRule>
  </conditionalFormatting>
  <conditionalFormatting sqref="J235">
    <cfRule type="expression" dxfId="376" priority="437">
      <formula>J235&lt;&gt;$BH235</formula>
    </cfRule>
  </conditionalFormatting>
  <conditionalFormatting sqref="I235">
    <cfRule type="expression" dxfId="375" priority="436">
      <formula>I235&lt;&gt;$BG235</formula>
    </cfRule>
  </conditionalFormatting>
  <conditionalFormatting sqref="K235:V235">
    <cfRule type="expression" dxfId="374" priority="434">
      <formula>NOT(OR(ISBLANK(K235),ISNUMBER(K235)))</formula>
    </cfRule>
  </conditionalFormatting>
  <conditionalFormatting sqref="K235:V235 AA235:AM235">
    <cfRule type="expression" dxfId="373" priority="438">
      <formula>OR($BC235="1000 контактов",$BC235="Секунда",$BC235="Контакты")</formula>
    </cfRule>
  </conditionalFormatting>
  <conditionalFormatting sqref="X235">
    <cfRule type="expression" dxfId="372" priority="432">
      <formula>OR($BC235="1000 контактов",$BC235="Секунда",$BC235="Контакты")</formula>
    </cfRule>
  </conditionalFormatting>
  <conditionalFormatting sqref="Z235">
    <cfRule type="cellIs" dxfId="371" priority="439" operator="notEqual">
      <formula>0</formula>
    </cfRule>
  </conditionalFormatting>
  <conditionalFormatting sqref="K235:V235 AA235:AM235">
    <cfRule type="expression" dxfId="370" priority="435">
      <formula>NOT(OR($BC235="1000 контактов",$BC235="Секунда",$BC235="Контакты"))</formula>
    </cfRule>
  </conditionalFormatting>
  <conditionalFormatting sqref="Z20">
    <cfRule type="cellIs" dxfId="369" priority="431" operator="equal">
      <formula>0</formula>
    </cfRule>
  </conditionalFormatting>
  <conditionalFormatting sqref="AA20:AL20 K20:V20">
    <cfRule type="expression" dxfId="368" priority="423">
      <formula>ISNUMBER(K20)</formula>
    </cfRule>
  </conditionalFormatting>
  <conditionalFormatting sqref="B20:J20 W20:Z20">
    <cfRule type="expression" dxfId="367" priority="430">
      <formula>OR($BC20="1000 контактов",$BC20="Секунда",$BC20="Контакты")</formula>
    </cfRule>
  </conditionalFormatting>
  <conditionalFormatting sqref="J20">
    <cfRule type="expression" dxfId="366" priority="427">
      <formula>J20&lt;&gt;$BH20</formula>
    </cfRule>
  </conditionalFormatting>
  <conditionalFormatting sqref="I20">
    <cfRule type="expression" dxfId="365" priority="426">
      <formula>I20&lt;&gt;$BG20</formula>
    </cfRule>
  </conditionalFormatting>
  <conditionalFormatting sqref="K20:V20">
    <cfRule type="expression" dxfId="364" priority="424">
      <formula>NOT(OR(ISBLANK(K20),ISNUMBER(K20)))</formula>
    </cfRule>
  </conditionalFormatting>
  <conditionalFormatting sqref="K20:V20 AA20:AM20">
    <cfRule type="expression" dxfId="363" priority="428">
      <formula>OR($BC20="1000 контактов",$BC20="Секунда",$BC20="Контакты")</formula>
    </cfRule>
  </conditionalFormatting>
  <conditionalFormatting sqref="Z20">
    <cfRule type="cellIs" dxfId="362" priority="429" operator="notEqual">
      <formula>0</formula>
    </cfRule>
  </conditionalFormatting>
  <conditionalFormatting sqref="K20:V20 AA20:AM20">
    <cfRule type="expression" dxfId="361" priority="425">
      <formula>NOT(OR($BC20="1000 контактов",$BC20="Секунда",$BC20="Контакты"))</formula>
    </cfRule>
  </conditionalFormatting>
  <conditionalFormatting sqref="Z21">
    <cfRule type="cellIs" dxfId="360" priority="422" operator="equal">
      <formula>0</formula>
    </cfRule>
  </conditionalFormatting>
  <conditionalFormatting sqref="AA21:AL21 K21:V21">
    <cfRule type="expression" dxfId="359" priority="414">
      <formula>ISNUMBER(K21)</formula>
    </cfRule>
  </conditionalFormatting>
  <conditionalFormatting sqref="B21:J21 W21:Z21">
    <cfRule type="expression" dxfId="358" priority="421">
      <formula>OR($BC21="1000 контактов",$BC21="Секунда",$BC21="Контакты")</formula>
    </cfRule>
  </conditionalFormatting>
  <conditionalFormatting sqref="J21">
    <cfRule type="expression" dxfId="357" priority="418">
      <formula>J21&lt;&gt;$BH21</formula>
    </cfRule>
  </conditionalFormatting>
  <conditionalFormatting sqref="I21">
    <cfRule type="expression" dxfId="356" priority="417">
      <formula>I21&lt;&gt;$BG21</formula>
    </cfRule>
  </conditionalFormatting>
  <conditionalFormatting sqref="K21:V21">
    <cfRule type="expression" dxfId="355" priority="415">
      <formula>NOT(OR(ISBLANK(K21),ISNUMBER(K21)))</formula>
    </cfRule>
  </conditionalFormatting>
  <conditionalFormatting sqref="K21:V21 AA21:AM21">
    <cfRule type="expression" dxfId="354" priority="419">
      <formula>OR($BC21="1000 контактов",$BC21="Секунда",$BC21="Контакты")</formula>
    </cfRule>
  </conditionalFormatting>
  <conditionalFormatting sqref="Z21">
    <cfRule type="cellIs" dxfId="353" priority="420" operator="notEqual">
      <formula>0</formula>
    </cfRule>
  </conditionalFormatting>
  <conditionalFormatting sqref="K21:V21 AA21:AM21">
    <cfRule type="expression" dxfId="352" priority="416">
      <formula>NOT(OR($BC21="1000 контактов",$BC21="Секунда",$BC21="Контакты"))</formula>
    </cfRule>
  </conditionalFormatting>
  <conditionalFormatting sqref="Z22">
    <cfRule type="cellIs" dxfId="351" priority="413" operator="equal">
      <formula>0</formula>
    </cfRule>
  </conditionalFormatting>
  <conditionalFormatting sqref="AA22:AL22 K22:V22">
    <cfRule type="expression" dxfId="350" priority="405">
      <formula>ISNUMBER(K22)</formula>
    </cfRule>
  </conditionalFormatting>
  <conditionalFormatting sqref="B22:J22 W22:Z22">
    <cfRule type="expression" dxfId="349" priority="412">
      <formula>OR($BC22="1000 контактов",$BC22="Секунда",$BC22="Контакты")</formula>
    </cfRule>
  </conditionalFormatting>
  <conditionalFormatting sqref="J22">
    <cfRule type="expression" dxfId="348" priority="409">
      <formula>J22&lt;&gt;$BH22</formula>
    </cfRule>
  </conditionalFormatting>
  <conditionalFormatting sqref="I22">
    <cfRule type="expression" dxfId="347" priority="408">
      <formula>I22&lt;&gt;$BG22</formula>
    </cfRule>
  </conditionalFormatting>
  <conditionalFormatting sqref="K22:V22">
    <cfRule type="expression" dxfId="346" priority="406">
      <formula>NOT(OR(ISBLANK(K22),ISNUMBER(K22)))</formula>
    </cfRule>
  </conditionalFormatting>
  <conditionalFormatting sqref="K22:V22 AA22:AM22">
    <cfRule type="expression" dxfId="345" priority="410">
      <formula>OR($BC22="1000 контактов",$BC22="Секунда",$BC22="Контакты")</formula>
    </cfRule>
  </conditionalFormatting>
  <conditionalFormatting sqref="Z22">
    <cfRule type="cellIs" dxfId="344" priority="411" operator="notEqual">
      <formula>0</formula>
    </cfRule>
  </conditionalFormatting>
  <conditionalFormatting sqref="K22:V22 AA22:AM22">
    <cfRule type="expression" dxfId="343" priority="407">
      <formula>NOT(OR($BC22="1000 контактов",$BC22="Секунда",$BC22="Контакты"))</formula>
    </cfRule>
  </conditionalFormatting>
  <conditionalFormatting sqref="Z23">
    <cfRule type="cellIs" dxfId="342" priority="404" operator="equal">
      <formula>0</formula>
    </cfRule>
  </conditionalFormatting>
  <conditionalFormatting sqref="AA23:AL23 K23:V23">
    <cfRule type="expression" dxfId="341" priority="396">
      <formula>ISNUMBER(K23)</formula>
    </cfRule>
  </conditionalFormatting>
  <conditionalFormatting sqref="B23:J23 W23:Z23">
    <cfRule type="expression" dxfId="340" priority="403">
      <formula>OR($BC23="1000 контактов",$BC23="Секунда",$BC23="Контакты")</formula>
    </cfRule>
  </conditionalFormatting>
  <conditionalFormatting sqref="J23">
    <cfRule type="expression" dxfId="339" priority="400">
      <formula>J23&lt;&gt;$BH23</formula>
    </cfRule>
  </conditionalFormatting>
  <conditionalFormatting sqref="I23">
    <cfRule type="expression" dxfId="338" priority="399">
      <formula>I23&lt;&gt;$BG23</formula>
    </cfRule>
  </conditionalFormatting>
  <conditionalFormatting sqref="K23:V23">
    <cfRule type="expression" dxfId="337" priority="397">
      <formula>NOT(OR(ISBLANK(K23),ISNUMBER(K23)))</formula>
    </cfRule>
  </conditionalFormatting>
  <conditionalFormatting sqref="K23:V23 AA23:AM23">
    <cfRule type="expression" dxfId="336" priority="401">
      <formula>OR($BC23="1000 контактов",$BC23="Секунда",$BC23="Контакты")</formula>
    </cfRule>
  </conditionalFormatting>
  <conditionalFormatting sqref="Z23">
    <cfRule type="cellIs" dxfId="335" priority="402" operator="notEqual">
      <formula>0</formula>
    </cfRule>
  </conditionalFormatting>
  <conditionalFormatting sqref="K23:V23 AA23:AM23">
    <cfRule type="expression" dxfId="334" priority="398">
      <formula>NOT(OR($BC23="1000 контактов",$BC23="Секунда",$BC23="Контакты"))</formula>
    </cfRule>
  </conditionalFormatting>
  <conditionalFormatting sqref="Z24">
    <cfRule type="cellIs" dxfId="333" priority="395" operator="equal">
      <formula>0</formula>
    </cfRule>
  </conditionalFormatting>
  <conditionalFormatting sqref="AA24:AL24 K24:V24">
    <cfRule type="expression" dxfId="332" priority="387">
      <formula>ISNUMBER(K24)</formula>
    </cfRule>
  </conditionalFormatting>
  <conditionalFormatting sqref="B24:J24 W24:Z24">
    <cfRule type="expression" dxfId="331" priority="394">
      <formula>OR($BC24="1000 контактов",$BC24="Секунда",$BC24="Контакты")</formula>
    </cfRule>
  </conditionalFormatting>
  <conditionalFormatting sqref="J24">
    <cfRule type="expression" dxfId="330" priority="391">
      <formula>J24&lt;&gt;$BH24</formula>
    </cfRule>
  </conditionalFormatting>
  <conditionalFormatting sqref="I24">
    <cfRule type="expression" dxfId="329" priority="390">
      <formula>I24&lt;&gt;$BG24</formula>
    </cfRule>
  </conditionalFormatting>
  <conditionalFormatting sqref="K24:V24">
    <cfRule type="expression" dxfId="328" priority="388">
      <formula>NOT(OR(ISBLANK(K24),ISNUMBER(K24)))</formula>
    </cfRule>
  </conditionalFormatting>
  <conditionalFormatting sqref="K24:V24 AA24:AM24">
    <cfRule type="expression" dxfId="327" priority="392">
      <formula>OR($BC24="1000 контактов",$BC24="Секунда",$BC24="Контакты")</formula>
    </cfRule>
  </conditionalFormatting>
  <conditionalFormatting sqref="Z24">
    <cfRule type="cellIs" dxfId="326" priority="393" operator="notEqual">
      <formula>0</formula>
    </cfRule>
  </conditionalFormatting>
  <conditionalFormatting sqref="K24:V24 AA24:AM24">
    <cfRule type="expression" dxfId="325" priority="389">
      <formula>NOT(OR($BC24="1000 контактов",$BC24="Секунда",$BC24="Контакты"))</formula>
    </cfRule>
  </conditionalFormatting>
  <conditionalFormatting sqref="Z25">
    <cfRule type="cellIs" dxfId="324" priority="386" operator="equal">
      <formula>0</formula>
    </cfRule>
  </conditionalFormatting>
  <conditionalFormatting sqref="AA25:AL25 K25:V25">
    <cfRule type="expression" dxfId="323" priority="378">
      <formula>ISNUMBER(K25)</formula>
    </cfRule>
  </conditionalFormatting>
  <conditionalFormatting sqref="B25:J25 W25:Z25">
    <cfRule type="expression" dxfId="322" priority="385">
      <formula>OR($BC25="1000 контактов",$BC25="Секунда",$BC25="Контакты")</formula>
    </cfRule>
  </conditionalFormatting>
  <conditionalFormatting sqref="J25">
    <cfRule type="expression" dxfId="321" priority="382">
      <formula>J25&lt;&gt;$BH25</formula>
    </cfRule>
  </conditionalFormatting>
  <conditionalFormatting sqref="I25">
    <cfRule type="expression" dxfId="320" priority="381">
      <formula>I25&lt;&gt;$BG25</formula>
    </cfRule>
  </conditionalFormatting>
  <conditionalFormatting sqref="K25:V25">
    <cfRule type="expression" dxfId="319" priority="379">
      <formula>NOT(OR(ISBLANK(K25),ISNUMBER(K25)))</formula>
    </cfRule>
  </conditionalFormatting>
  <conditionalFormatting sqref="K25:V25 AA25:AM25">
    <cfRule type="expression" dxfId="318" priority="383">
      <formula>OR($BC25="1000 контактов",$BC25="Секунда",$BC25="Контакты")</formula>
    </cfRule>
  </conditionalFormatting>
  <conditionalFormatting sqref="Z25">
    <cfRule type="cellIs" dxfId="317" priority="384" operator="notEqual">
      <formula>0</formula>
    </cfRule>
  </conditionalFormatting>
  <conditionalFormatting sqref="K25:V25 AA25:AM25">
    <cfRule type="expression" dxfId="316" priority="380">
      <formula>NOT(OR($BC25="1000 контактов",$BC25="Секунда",$BC25="Контакты"))</formula>
    </cfRule>
  </conditionalFormatting>
  <conditionalFormatting sqref="Z26">
    <cfRule type="cellIs" dxfId="315" priority="377" operator="equal">
      <formula>0</formula>
    </cfRule>
  </conditionalFormatting>
  <conditionalFormatting sqref="AA26:AL26 K26:V26">
    <cfRule type="expression" dxfId="314" priority="369">
      <formula>ISNUMBER(K26)</formula>
    </cfRule>
  </conditionalFormatting>
  <conditionalFormatting sqref="B26:J26 W26:Z26">
    <cfRule type="expression" dxfId="313" priority="376">
      <formula>OR($BC26="1000 контактов",$BC26="Секунда",$BC26="Контакты")</formula>
    </cfRule>
  </conditionalFormatting>
  <conditionalFormatting sqref="J26">
    <cfRule type="expression" dxfId="312" priority="373">
      <formula>J26&lt;&gt;$BH26</formula>
    </cfRule>
  </conditionalFormatting>
  <conditionalFormatting sqref="I26">
    <cfRule type="expression" dxfId="311" priority="372">
      <formula>I26&lt;&gt;$BG26</formula>
    </cfRule>
  </conditionalFormatting>
  <conditionalFormatting sqref="K26:V26">
    <cfRule type="expression" dxfId="310" priority="370">
      <formula>NOT(OR(ISBLANK(K26),ISNUMBER(K26)))</formula>
    </cfRule>
  </conditionalFormatting>
  <conditionalFormatting sqref="K26:V26 AA26:AM26">
    <cfRule type="expression" dxfId="309" priority="374">
      <formula>OR($BC26="1000 контактов",$BC26="Секунда",$BC26="Контакты")</formula>
    </cfRule>
  </conditionalFormatting>
  <conditionalFormatting sqref="Z26">
    <cfRule type="cellIs" dxfId="308" priority="375" operator="notEqual">
      <formula>0</formula>
    </cfRule>
  </conditionalFormatting>
  <conditionalFormatting sqref="K26:V26 AA26:AM26">
    <cfRule type="expression" dxfId="307" priority="371">
      <formula>NOT(OR($BC26="1000 контактов",$BC26="Секунда",$BC26="Контакты"))</formula>
    </cfRule>
  </conditionalFormatting>
  <conditionalFormatting sqref="Z27">
    <cfRule type="cellIs" dxfId="306" priority="368" operator="equal">
      <formula>0</formula>
    </cfRule>
  </conditionalFormatting>
  <conditionalFormatting sqref="AA27:AL27 K27:V27">
    <cfRule type="expression" dxfId="305" priority="360">
      <formula>ISNUMBER(K27)</formula>
    </cfRule>
  </conditionalFormatting>
  <conditionalFormatting sqref="B27:J27 W27:Z27">
    <cfRule type="expression" dxfId="304" priority="367">
      <formula>OR($BC27="1000 контактов",$BC27="Секунда",$BC27="Контакты")</formula>
    </cfRule>
  </conditionalFormatting>
  <conditionalFormatting sqref="J27">
    <cfRule type="expression" dxfId="303" priority="364">
      <formula>J27&lt;&gt;$BH27</formula>
    </cfRule>
  </conditionalFormatting>
  <conditionalFormatting sqref="I27">
    <cfRule type="expression" dxfId="302" priority="363">
      <formula>I27&lt;&gt;$BG27</formula>
    </cfRule>
  </conditionalFormatting>
  <conditionalFormatting sqref="K27:V27">
    <cfRule type="expression" dxfId="301" priority="361">
      <formula>NOT(OR(ISBLANK(K27),ISNUMBER(K27)))</formula>
    </cfRule>
  </conditionalFormatting>
  <conditionalFormatting sqref="K27:V27 AA27:AM27">
    <cfRule type="expression" dxfId="300" priority="365">
      <formula>OR($BC27="1000 контактов",$BC27="Секунда",$BC27="Контакты")</formula>
    </cfRule>
  </conditionalFormatting>
  <conditionalFormatting sqref="Z27">
    <cfRule type="cellIs" dxfId="299" priority="366" operator="notEqual">
      <formula>0</formula>
    </cfRule>
  </conditionalFormatting>
  <conditionalFormatting sqref="K27:V27 AA27:AM27">
    <cfRule type="expression" dxfId="298" priority="362">
      <formula>NOT(OR($BC27="1000 контактов",$BC27="Секунда",$BC27="Контакты"))</formula>
    </cfRule>
  </conditionalFormatting>
  <conditionalFormatting sqref="Z28">
    <cfRule type="cellIs" dxfId="297" priority="359" operator="equal">
      <formula>0</formula>
    </cfRule>
  </conditionalFormatting>
  <conditionalFormatting sqref="AA28:AL28 K28:V28">
    <cfRule type="expression" dxfId="296" priority="351">
      <formula>ISNUMBER(K28)</formula>
    </cfRule>
  </conditionalFormatting>
  <conditionalFormatting sqref="B28:J28 W28:Z28">
    <cfRule type="expression" dxfId="295" priority="358">
      <formula>OR($BC28="1000 контактов",$BC28="Секунда",$BC28="Контакты")</formula>
    </cfRule>
  </conditionalFormatting>
  <conditionalFormatting sqref="J28">
    <cfRule type="expression" dxfId="294" priority="355">
      <formula>J28&lt;&gt;$BH28</formula>
    </cfRule>
  </conditionalFormatting>
  <conditionalFormatting sqref="I28">
    <cfRule type="expression" dxfId="293" priority="354">
      <formula>I28&lt;&gt;$BG28</formula>
    </cfRule>
  </conditionalFormatting>
  <conditionalFormatting sqref="K28:V28">
    <cfRule type="expression" dxfId="292" priority="352">
      <formula>NOT(OR(ISBLANK(K28),ISNUMBER(K28)))</formula>
    </cfRule>
  </conditionalFormatting>
  <conditionalFormatting sqref="K28:V28 AA28:AM28">
    <cfRule type="expression" dxfId="291" priority="356">
      <formula>OR($BC28="1000 контактов",$BC28="Секунда",$BC28="Контакты")</formula>
    </cfRule>
  </conditionalFormatting>
  <conditionalFormatting sqref="Z28">
    <cfRule type="cellIs" dxfId="290" priority="357" operator="notEqual">
      <formula>0</formula>
    </cfRule>
  </conditionalFormatting>
  <conditionalFormatting sqref="K28:V28 AA28:AM28">
    <cfRule type="expression" dxfId="289" priority="353">
      <formula>NOT(OR($BC28="1000 контактов",$BC28="Секунда",$BC28="Контакты"))</formula>
    </cfRule>
  </conditionalFormatting>
  <conditionalFormatting sqref="Z29">
    <cfRule type="cellIs" dxfId="288" priority="350" operator="equal">
      <formula>0</formula>
    </cfRule>
  </conditionalFormatting>
  <conditionalFormatting sqref="AA29:AL29 K29:V29">
    <cfRule type="expression" dxfId="287" priority="342">
      <formula>ISNUMBER(K29)</formula>
    </cfRule>
  </conditionalFormatting>
  <conditionalFormatting sqref="B29:J29 W29:Z29">
    <cfRule type="expression" dxfId="286" priority="349">
      <formula>OR($BC29="1000 контактов",$BC29="Секунда",$BC29="Контакты")</formula>
    </cfRule>
  </conditionalFormatting>
  <conditionalFormatting sqref="J29">
    <cfRule type="expression" dxfId="285" priority="346">
      <formula>J29&lt;&gt;$BH29</formula>
    </cfRule>
  </conditionalFormatting>
  <conditionalFormatting sqref="I29">
    <cfRule type="expression" dxfId="284" priority="345">
      <formula>I29&lt;&gt;$BG29</formula>
    </cfRule>
  </conditionalFormatting>
  <conditionalFormatting sqref="K29:V29">
    <cfRule type="expression" dxfId="283" priority="343">
      <formula>NOT(OR(ISBLANK(K29),ISNUMBER(K29)))</formula>
    </cfRule>
  </conditionalFormatting>
  <conditionalFormatting sqref="K29:V29 AA29:AM29">
    <cfRule type="expression" dxfId="282" priority="347">
      <formula>OR($BC29="1000 контактов",$BC29="Секунда",$BC29="Контакты")</formula>
    </cfRule>
  </conditionalFormatting>
  <conditionalFormatting sqref="Z29">
    <cfRule type="cellIs" dxfId="281" priority="348" operator="notEqual">
      <formula>0</formula>
    </cfRule>
  </conditionalFormatting>
  <conditionalFormatting sqref="K29:V29 AA29:AM29">
    <cfRule type="expression" dxfId="280" priority="344">
      <formula>NOT(OR($BC29="1000 контактов",$BC29="Секунда",$BC29="Контакты"))</formula>
    </cfRule>
  </conditionalFormatting>
  <conditionalFormatting sqref="Z30">
    <cfRule type="cellIs" dxfId="279" priority="341" operator="equal">
      <formula>0</formula>
    </cfRule>
  </conditionalFormatting>
  <conditionalFormatting sqref="AA30:AL30 K30:V30">
    <cfRule type="expression" dxfId="278" priority="333">
      <formula>ISNUMBER(K30)</formula>
    </cfRule>
  </conditionalFormatting>
  <conditionalFormatting sqref="B30:J30 W30:Z30">
    <cfRule type="expression" dxfId="277" priority="340">
      <formula>OR($BC30="1000 контактов",$BC30="Секунда",$BC30="Контакты")</formula>
    </cfRule>
  </conditionalFormatting>
  <conditionalFormatting sqref="J30">
    <cfRule type="expression" dxfId="276" priority="337">
      <formula>J30&lt;&gt;$BH30</formula>
    </cfRule>
  </conditionalFormatting>
  <conditionalFormatting sqref="I30">
    <cfRule type="expression" dxfId="275" priority="336">
      <formula>I30&lt;&gt;$BG30</formula>
    </cfRule>
  </conditionalFormatting>
  <conditionalFormatting sqref="K30:V30">
    <cfRule type="expression" dxfId="274" priority="334">
      <formula>NOT(OR(ISBLANK(K30),ISNUMBER(K30)))</formula>
    </cfRule>
  </conditionalFormatting>
  <conditionalFormatting sqref="K30:V30 AA30:AM30">
    <cfRule type="expression" dxfId="273" priority="338">
      <formula>OR($BC30="1000 контактов",$BC30="Секунда",$BC30="Контакты")</formula>
    </cfRule>
  </conditionalFormatting>
  <conditionalFormatting sqref="Z30">
    <cfRule type="cellIs" dxfId="272" priority="339" operator="notEqual">
      <formula>0</formula>
    </cfRule>
  </conditionalFormatting>
  <conditionalFormatting sqref="K30:V30 AA30:AM30">
    <cfRule type="expression" dxfId="271" priority="335">
      <formula>NOT(OR($BC30="1000 контактов",$BC30="Секунда",$BC30="Контакты"))</formula>
    </cfRule>
  </conditionalFormatting>
  <conditionalFormatting sqref="Z31">
    <cfRule type="cellIs" dxfId="270" priority="332" operator="equal">
      <formula>0</formula>
    </cfRule>
  </conditionalFormatting>
  <conditionalFormatting sqref="AA31:AL31 K31:V31">
    <cfRule type="expression" dxfId="269" priority="324">
      <formula>ISNUMBER(K31)</formula>
    </cfRule>
  </conditionalFormatting>
  <conditionalFormatting sqref="B31:J31 W31:Z31">
    <cfRule type="expression" dxfId="268" priority="331">
      <formula>OR($BC31="1000 контактов",$BC31="Секунда",$BC31="Контакты")</formula>
    </cfRule>
  </conditionalFormatting>
  <conditionalFormatting sqref="J31">
    <cfRule type="expression" dxfId="267" priority="328">
      <formula>J31&lt;&gt;$BH31</formula>
    </cfRule>
  </conditionalFormatting>
  <conditionalFormatting sqref="I31">
    <cfRule type="expression" dxfId="266" priority="327">
      <formula>I31&lt;&gt;$BG31</formula>
    </cfRule>
  </conditionalFormatting>
  <conditionalFormatting sqref="K31:V31">
    <cfRule type="expression" dxfId="265" priority="325">
      <formula>NOT(OR(ISBLANK(K31),ISNUMBER(K31)))</formula>
    </cfRule>
  </conditionalFormatting>
  <conditionalFormatting sqref="K31:V31 AA31:AM31">
    <cfRule type="expression" dxfId="264" priority="329">
      <formula>OR($BC31="1000 контактов",$BC31="Секунда",$BC31="Контакты")</formula>
    </cfRule>
  </conditionalFormatting>
  <conditionalFormatting sqref="Z31">
    <cfRule type="cellIs" dxfId="263" priority="330" operator="notEqual">
      <formula>0</formula>
    </cfRule>
  </conditionalFormatting>
  <conditionalFormatting sqref="K31:V31 AA31:AM31">
    <cfRule type="expression" dxfId="262" priority="326">
      <formula>NOT(OR($BC31="1000 контактов",$BC31="Секунда",$BC31="Контакты"))</formula>
    </cfRule>
  </conditionalFormatting>
  <conditionalFormatting sqref="Z32">
    <cfRule type="cellIs" dxfId="261" priority="323" operator="equal">
      <formula>0</formula>
    </cfRule>
  </conditionalFormatting>
  <conditionalFormatting sqref="AA32:AL32 K32:V32">
    <cfRule type="expression" dxfId="260" priority="315">
      <formula>ISNUMBER(K32)</formula>
    </cfRule>
  </conditionalFormatting>
  <conditionalFormatting sqref="B32:J32 W32:Z32">
    <cfRule type="expression" dxfId="259" priority="322">
      <formula>OR($BC32="1000 контактов",$BC32="Секунда",$BC32="Контакты")</formula>
    </cfRule>
  </conditionalFormatting>
  <conditionalFormatting sqref="J32">
    <cfRule type="expression" dxfId="258" priority="319">
      <formula>J32&lt;&gt;$BH32</formula>
    </cfRule>
  </conditionalFormatting>
  <conditionalFormatting sqref="I32">
    <cfRule type="expression" dxfId="257" priority="318">
      <formula>I32&lt;&gt;$BG32</formula>
    </cfRule>
  </conditionalFormatting>
  <conditionalFormatting sqref="K32:V32">
    <cfRule type="expression" dxfId="256" priority="316">
      <formula>NOT(OR(ISBLANK(K32),ISNUMBER(K32)))</formula>
    </cfRule>
  </conditionalFormatting>
  <conditionalFormatting sqref="K32:V32 AA32:AM32">
    <cfRule type="expression" dxfId="255" priority="320">
      <formula>OR($BC32="1000 контактов",$BC32="Секунда",$BC32="Контакты")</formula>
    </cfRule>
  </conditionalFormatting>
  <conditionalFormatting sqref="Z32">
    <cfRule type="cellIs" dxfId="254" priority="321" operator="notEqual">
      <formula>0</formula>
    </cfRule>
  </conditionalFormatting>
  <conditionalFormatting sqref="K32:V32 AA32:AM32">
    <cfRule type="expression" dxfId="253" priority="317">
      <formula>NOT(OR($BC32="1000 контактов",$BC32="Секунда",$BC32="Контакты"))</formula>
    </cfRule>
  </conditionalFormatting>
  <conditionalFormatting sqref="Z33">
    <cfRule type="cellIs" dxfId="252" priority="314" operator="equal">
      <formula>0</formula>
    </cfRule>
  </conditionalFormatting>
  <conditionalFormatting sqref="AA33:AL33 K33:V33">
    <cfRule type="expression" dxfId="251" priority="306">
      <formula>ISNUMBER(K33)</formula>
    </cfRule>
  </conditionalFormatting>
  <conditionalFormatting sqref="B33:J33 W33:Z33">
    <cfRule type="expression" dxfId="250" priority="313">
      <formula>OR($BC33="1000 контактов",$BC33="Секунда",$BC33="Контакты")</formula>
    </cfRule>
  </conditionalFormatting>
  <conditionalFormatting sqref="J33">
    <cfRule type="expression" dxfId="249" priority="310">
      <formula>J33&lt;&gt;$BH33</formula>
    </cfRule>
  </conditionalFormatting>
  <conditionalFormatting sqref="I33">
    <cfRule type="expression" dxfId="248" priority="309">
      <formula>I33&lt;&gt;$BG33</formula>
    </cfRule>
  </conditionalFormatting>
  <conditionalFormatting sqref="K33:V33">
    <cfRule type="expression" dxfId="247" priority="307">
      <formula>NOT(OR(ISBLANK(K33),ISNUMBER(K33)))</formula>
    </cfRule>
  </conditionalFormatting>
  <conditionalFormatting sqref="K33:V33 AA33:AM33">
    <cfRule type="expression" dxfId="246" priority="311">
      <formula>OR($BC33="1000 контактов",$BC33="Секунда",$BC33="Контакты")</formula>
    </cfRule>
  </conditionalFormatting>
  <conditionalFormatting sqref="Z33">
    <cfRule type="cellIs" dxfId="245" priority="312" operator="notEqual">
      <formula>0</formula>
    </cfRule>
  </conditionalFormatting>
  <conditionalFormatting sqref="K33:V33 AA33:AM33">
    <cfRule type="expression" dxfId="244" priority="308">
      <formula>NOT(OR($BC33="1000 контактов",$BC33="Секунда",$BC33="Контакты"))</formula>
    </cfRule>
  </conditionalFormatting>
  <conditionalFormatting sqref="Z34">
    <cfRule type="cellIs" dxfId="243" priority="305" operator="equal">
      <formula>0</formula>
    </cfRule>
  </conditionalFormatting>
  <conditionalFormatting sqref="AA34:AL34 K34:V34">
    <cfRule type="expression" dxfId="242" priority="297">
      <formula>ISNUMBER(K34)</formula>
    </cfRule>
  </conditionalFormatting>
  <conditionalFormatting sqref="B34:J34 W34:Z34">
    <cfRule type="expression" dxfId="241" priority="304">
      <formula>OR($BC34="1000 контактов",$BC34="Секунда",$BC34="Контакты")</formula>
    </cfRule>
  </conditionalFormatting>
  <conditionalFormatting sqref="J34">
    <cfRule type="expression" dxfId="240" priority="301">
      <formula>J34&lt;&gt;$BH34</formula>
    </cfRule>
  </conditionalFormatting>
  <conditionalFormatting sqref="I34">
    <cfRule type="expression" dxfId="239" priority="300">
      <formula>I34&lt;&gt;$BG34</formula>
    </cfRule>
  </conditionalFormatting>
  <conditionalFormatting sqref="K34:V34">
    <cfRule type="expression" dxfId="238" priority="298">
      <formula>NOT(OR(ISBLANK(K34),ISNUMBER(K34)))</formula>
    </cfRule>
  </conditionalFormatting>
  <conditionalFormatting sqref="K34:V34 AA34:AM34">
    <cfRule type="expression" dxfId="237" priority="302">
      <formula>OR($BC34="1000 контактов",$BC34="Секунда",$BC34="Контакты")</formula>
    </cfRule>
  </conditionalFormatting>
  <conditionalFormatting sqref="Z34">
    <cfRule type="cellIs" dxfId="236" priority="303" operator="notEqual">
      <formula>0</formula>
    </cfRule>
  </conditionalFormatting>
  <conditionalFormatting sqref="K34:V34 AA34:AM34">
    <cfRule type="expression" dxfId="235" priority="299">
      <formula>NOT(OR($BC34="1000 контактов",$BC34="Секунда",$BC34="Контакты"))</formula>
    </cfRule>
  </conditionalFormatting>
  <conditionalFormatting sqref="Z35">
    <cfRule type="cellIs" dxfId="234" priority="296" operator="equal">
      <formula>0</formula>
    </cfRule>
  </conditionalFormatting>
  <conditionalFormatting sqref="AA35:AL35 K35:V35">
    <cfRule type="expression" dxfId="233" priority="288">
      <formula>ISNUMBER(K35)</formula>
    </cfRule>
  </conditionalFormatting>
  <conditionalFormatting sqref="B35:J35 W35:Z35">
    <cfRule type="expression" dxfId="232" priority="295">
      <formula>OR($BC35="1000 контактов",$BC35="Секунда",$BC35="Контакты")</formula>
    </cfRule>
  </conditionalFormatting>
  <conditionalFormatting sqref="J35">
    <cfRule type="expression" dxfId="231" priority="292">
      <formula>J35&lt;&gt;$BH35</formula>
    </cfRule>
  </conditionalFormatting>
  <conditionalFormatting sqref="I35">
    <cfRule type="expression" dxfId="230" priority="291">
      <formula>I35&lt;&gt;$BG35</formula>
    </cfRule>
  </conditionalFormatting>
  <conditionalFormatting sqref="K35:V35">
    <cfRule type="expression" dxfId="229" priority="289">
      <formula>NOT(OR(ISBLANK(K35),ISNUMBER(K35)))</formula>
    </cfRule>
  </conditionalFormatting>
  <conditionalFormatting sqref="K35:V35 AA35:AM35">
    <cfRule type="expression" dxfId="228" priority="293">
      <formula>OR($BC35="1000 контактов",$BC35="Секунда",$BC35="Контакты")</formula>
    </cfRule>
  </conditionalFormatting>
  <conditionalFormatting sqref="Z35">
    <cfRule type="cellIs" dxfId="227" priority="294" operator="notEqual">
      <formula>0</formula>
    </cfRule>
  </conditionalFormatting>
  <conditionalFormatting sqref="K35:V35 AA35:AM35">
    <cfRule type="expression" dxfId="226" priority="290">
      <formula>NOT(OR($BC35="1000 контактов",$BC35="Секунда",$BC35="Контакты"))</formula>
    </cfRule>
  </conditionalFormatting>
  <conditionalFormatting sqref="Z314">
    <cfRule type="cellIs" dxfId="225" priority="287" operator="equal">
      <formula>0</formula>
    </cfRule>
  </conditionalFormatting>
  <conditionalFormatting sqref="AA314:AL314 K314:V314">
    <cfRule type="expression" dxfId="224" priority="279">
      <formula>ISNUMBER(K314)</formula>
    </cfRule>
  </conditionalFormatting>
  <conditionalFormatting sqref="B314:J314 W314:Z314">
    <cfRule type="expression" dxfId="223" priority="286">
      <formula>OR($BC314="1000 контактов",$BC314="Секунда",$BC314="Контакты")</formula>
    </cfRule>
  </conditionalFormatting>
  <conditionalFormatting sqref="J314">
    <cfRule type="expression" dxfId="222" priority="283">
      <formula>J314&lt;&gt;$BH314</formula>
    </cfRule>
  </conditionalFormatting>
  <conditionalFormatting sqref="I314">
    <cfRule type="expression" dxfId="221" priority="282">
      <formula>I314&lt;&gt;$BG314</formula>
    </cfRule>
  </conditionalFormatting>
  <conditionalFormatting sqref="K314:V314">
    <cfRule type="expression" dxfId="220" priority="280">
      <formula>NOT(OR(ISBLANK(K314),ISNUMBER(K314)))</formula>
    </cfRule>
  </conditionalFormatting>
  <conditionalFormatting sqref="K314:V314 AA314:AM314">
    <cfRule type="expression" dxfId="219" priority="284">
      <formula>OR($BC314="1000 контактов",$BC314="Секунда",$BC314="Контакты")</formula>
    </cfRule>
  </conditionalFormatting>
  <conditionalFormatting sqref="Z314">
    <cfRule type="cellIs" dxfId="218" priority="285" operator="notEqual">
      <formula>0</formula>
    </cfRule>
  </conditionalFormatting>
  <conditionalFormatting sqref="K314:V314 AA314:AM314">
    <cfRule type="expression" dxfId="217" priority="281">
      <formula>NOT(OR($BC314="1000 контактов",$BC314="Секунда",$BC314="Контакты"))</formula>
    </cfRule>
  </conditionalFormatting>
  <conditionalFormatting sqref="Z315">
    <cfRule type="cellIs" dxfId="216" priority="278" operator="equal">
      <formula>0</formula>
    </cfRule>
  </conditionalFormatting>
  <conditionalFormatting sqref="AA315:AL315 K315:V315">
    <cfRule type="expression" dxfId="215" priority="270">
      <formula>ISNUMBER(K315)</formula>
    </cfRule>
  </conditionalFormatting>
  <conditionalFormatting sqref="B315:J315 W315:Z315">
    <cfRule type="expression" dxfId="214" priority="277">
      <formula>OR($BC315="1000 контактов",$BC315="Секунда",$BC315="Контакты")</formula>
    </cfRule>
  </conditionalFormatting>
  <conditionalFormatting sqref="J315">
    <cfRule type="expression" dxfId="213" priority="274">
      <formula>J315&lt;&gt;$BH315</formula>
    </cfRule>
  </conditionalFormatting>
  <conditionalFormatting sqref="I315">
    <cfRule type="expression" dxfId="212" priority="273">
      <formula>I315&lt;&gt;$BG315</formula>
    </cfRule>
  </conditionalFormatting>
  <conditionalFormatting sqref="K315:V315">
    <cfRule type="expression" dxfId="211" priority="271">
      <formula>NOT(OR(ISBLANK(K315),ISNUMBER(K315)))</formula>
    </cfRule>
  </conditionalFormatting>
  <conditionalFormatting sqref="K315:V315 AA315:AM315">
    <cfRule type="expression" dxfId="210" priority="275">
      <formula>OR($BC315="1000 контактов",$BC315="Секунда",$BC315="Контакты")</formula>
    </cfRule>
  </conditionalFormatting>
  <conditionalFormatting sqref="Z315">
    <cfRule type="cellIs" dxfId="209" priority="276" operator="notEqual">
      <formula>0</formula>
    </cfRule>
  </conditionalFormatting>
  <conditionalFormatting sqref="K315:V315 AA315:AM315">
    <cfRule type="expression" dxfId="208" priority="272">
      <formula>NOT(OR($BC315="1000 контактов",$BC315="Секунда",$BC315="Контакты"))</formula>
    </cfRule>
  </conditionalFormatting>
  <conditionalFormatting sqref="Z316">
    <cfRule type="cellIs" dxfId="207" priority="269" operator="equal">
      <formula>0</formula>
    </cfRule>
  </conditionalFormatting>
  <conditionalFormatting sqref="AA316:AL316 K316:V316">
    <cfRule type="expression" dxfId="206" priority="261">
      <formula>ISNUMBER(K316)</formula>
    </cfRule>
  </conditionalFormatting>
  <conditionalFormatting sqref="B316:J316 W316:Z316">
    <cfRule type="expression" dxfId="205" priority="268">
      <formula>OR($BC316="1000 контактов",$BC316="Секунда",$BC316="Контакты")</formula>
    </cfRule>
  </conditionalFormatting>
  <conditionalFormatting sqref="J316">
    <cfRule type="expression" dxfId="204" priority="265">
      <formula>J316&lt;&gt;$BH316</formula>
    </cfRule>
  </conditionalFormatting>
  <conditionalFormatting sqref="I316">
    <cfRule type="expression" dxfId="203" priority="264">
      <formula>I316&lt;&gt;$BG316</formula>
    </cfRule>
  </conditionalFormatting>
  <conditionalFormatting sqref="K316:V316">
    <cfRule type="expression" dxfId="202" priority="262">
      <formula>NOT(OR(ISBLANK(K316),ISNUMBER(K316)))</formula>
    </cfRule>
  </conditionalFormatting>
  <conditionalFormatting sqref="K316:V316 AA316:AM316">
    <cfRule type="expression" dxfId="201" priority="266">
      <formula>OR($BC316="1000 контактов",$BC316="Секунда",$BC316="Контакты")</formula>
    </cfRule>
  </conditionalFormatting>
  <conditionalFormatting sqref="Z316">
    <cfRule type="cellIs" dxfId="200" priority="267" operator="notEqual">
      <formula>0</formula>
    </cfRule>
  </conditionalFormatting>
  <conditionalFormatting sqref="K316:V316 AA316:AM316">
    <cfRule type="expression" dxfId="199" priority="263">
      <formula>NOT(OR($BC316="1000 контактов",$BC316="Секунда",$BC316="Контакты"))</formula>
    </cfRule>
  </conditionalFormatting>
  <conditionalFormatting sqref="Z287">
    <cfRule type="cellIs" dxfId="198" priority="260" operator="equal">
      <formula>0</formula>
    </cfRule>
  </conditionalFormatting>
  <conditionalFormatting sqref="AA287:AL287 K287:V287">
    <cfRule type="expression" dxfId="197" priority="252">
      <formula>ISNUMBER(K287)</formula>
    </cfRule>
  </conditionalFormatting>
  <conditionalFormatting sqref="B287:J287 W287 Y287:Z287">
    <cfRule type="expression" dxfId="196" priority="259">
      <formula>OR($BC287="1000 контактов",$BC287="Секунда",$BC287="Контакты")</formula>
    </cfRule>
  </conditionalFormatting>
  <conditionalFormatting sqref="J287">
    <cfRule type="expression" dxfId="195" priority="256">
      <formula>J287&lt;&gt;$BH287</formula>
    </cfRule>
  </conditionalFormatting>
  <conditionalFormatting sqref="I287">
    <cfRule type="expression" dxfId="194" priority="255">
      <formula>I287&lt;&gt;$BG287</formula>
    </cfRule>
  </conditionalFormatting>
  <conditionalFormatting sqref="K287:V287">
    <cfRule type="expression" dxfId="193" priority="253">
      <formula>NOT(OR(ISBLANK(K287),ISNUMBER(K287)))</formula>
    </cfRule>
  </conditionalFormatting>
  <conditionalFormatting sqref="K287:V287 AA287:AM287">
    <cfRule type="expression" dxfId="192" priority="257">
      <formula>OR($BC287="1000 контактов",$BC287="Секунда",$BC287="Контакты")</formula>
    </cfRule>
  </conditionalFormatting>
  <conditionalFormatting sqref="X287">
    <cfRule type="expression" dxfId="191" priority="251">
      <formula>OR($BC287="1000 контактов",$BC287="Секунда",$BC287="Контакты")</formula>
    </cfRule>
  </conditionalFormatting>
  <conditionalFormatting sqref="Z287">
    <cfRule type="cellIs" dxfId="190" priority="258" operator="notEqual">
      <formula>0</formula>
    </cfRule>
  </conditionalFormatting>
  <conditionalFormatting sqref="K287:V287 AA287:AM287">
    <cfRule type="expression" dxfId="189" priority="254">
      <formula>NOT(OR($BC287="1000 контактов",$BC287="Секунда",$BC287="Контакты"))</formula>
    </cfRule>
  </conditionalFormatting>
  <conditionalFormatting sqref="Z72">
    <cfRule type="cellIs" dxfId="188" priority="250" operator="equal">
      <formula>0</formula>
    </cfRule>
  </conditionalFormatting>
  <conditionalFormatting sqref="K72:V72 AA72:AL72">
    <cfRule type="expression" dxfId="187" priority="242">
      <formula>ISNUMBER(K72)</formula>
    </cfRule>
  </conditionalFormatting>
  <conditionalFormatting sqref="B72:J72 W72:Z72">
    <cfRule type="expression" dxfId="186" priority="249">
      <formula>OR($BC72="1000 контактов",$BC72="Секунда",$BC72="Контакты")</formula>
    </cfRule>
  </conditionalFormatting>
  <conditionalFormatting sqref="J72">
    <cfRule type="expression" dxfId="185" priority="246">
      <formula>J72&lt;&gt;$BH72</formula>
    </cfRule>
  </conditionalFormatting>
  <conditionalFormatting sqref="I72">
    <cfRule type="expression" dxfId="184" priority="245">
      <formula>I72&lt;&gt;$BG72</formula>
    </cfRule>
  </conditionalFormatting>
  <conditionalFormatting sqref="K72:V72">
    <cfRule type="expression" dxfId="183" priority="243">
      <formula>NOT(OR(ISBLANK(K72),ISNUMBER(K72)))</formula>
    </cfRule>
  </conditionalFormatting>
  <conditionalFormatting sqref="K72:V72 AA72:AM72">
    <cfRule type="expression" dxfId="182" priority="247">
      <formula>OR($BC72="1000 контактов",$BC72="Секунда",$BC72="Контакты")</formula>
    </cfRule>
  </conditionalFormatting>
  <conditionalFormatting sqref="Z72">
    <cfRule type="cellIs" dxfId="181" priority="248" operator="notEqual">
      <formula>0</formula>
    </cfRule>
  </conditionalFormatting>
  <conditionalFormatting sqref="K72:V72 AA72:AM72">
    <cfRule type="expression" dxfId="180" priority="244">
      <formula>NOT(OR($BC72="1000 контактов",$BC72="Секунда",$BC72="Контакты"))</formula>
    </cfRule>
  </conditionalFormatting>
  <conditionalFormatting sqref="Z189">
    <cfRule type="cellIs" dxfId="179" priority="241" operator="equal">
      <formula>0</formula>
    </cfRule>
  </conditionalFormatting>
  <conditionalFormatting sqref="AA189:AL189 K189:V189">
    <cfRule type="expression" dxfId="178" priority="233">
      <formula>ISNUMBER(K189)</formula>
    </cfRule>
  </conditionalFormatting>
  <conditionalFormatting sqref="B189:J189 W189:Z189">
    <cfRule type="expression" dxfId="177" priority="240">
      <formula>OR($BC189="1000 контактов",$BC189="Секунда",$BC189="Контакты")</formula>
    </cfRule>
  </conditionalFormatting>
  <conditionalFormatting sqref="J189">
    <cfRule type="expression" dxfId="176" priority="237">
      <formula>J189&lt;&gt;$BH189</formula>
    </cfRule>
  </conditionalFormatting>
  <conditionalFormatting sqref="I189">
    <cfRule type="expression" dxfId="175" priority="236">
      <formula>I189&lt;&gt;$BG189</formula>
    </cfRule>
  </conditionalFormatting>
  <conditionalFormatting sqref="K189:V189">
    <cfRule type="expression" dxfId="174" priority="234">
      <formula>NOT(OR(ISBLANK(K189),ISNUMBER(K189)))</formula>
    </cfRule>
  </conditionalFormatting>
  <conditionalFormatting sqref="K189:V189 AA189:AM189">
    <cfRule type="expression" dxfId="173" priority="238">
      <formula>OR($BC189="1000 контактов",$BC189="Секунда",$BC189="Контакты")</formula>
    </cfRule>
  </conditionalFormatting>
  <conditionalFormatting sqref="Z189">
    <cfRule type="cellIs" dxfId="172" priority="239" operator="notEqual">
      <formula>0</formula>
    </cfRule>
  </conditionalFormatting>
  <conditionalFormatting sqref="K189:V189 AA189:AM189">
    <cfRule type="expression" dxfId="171" priority="235">
      <formula>NOT(OR($BC189="1000 контактов",$BC189="Секунда",$BC189="Контакты"))</formula>
    </cfRule>
  </conditionalFormatting>
  <conditionalFormatting sqref="Z51:Z59">
    <cfRule type="cellIs" dxfId="170" priority="232" operator="equal">
      <formula>0</formula>
    </cfRule>
  </conditionalFormatting>
  <conditionalFormatting sqref="AA52:AL59 K52:V59">
    <cfRule type="expression" dxfId="169" priority="222">
      <formula>ISNUMBER(K52)</formula>
    </cfRule>
  </conditionalFormatting>
  <conditionalFormatting sqref="B51:C51">
    <cfRule type="expression" dxfId="168" priority="229">
      <formula>$AX51&gt;0</formula>
    </cfRule>
  </conditionalFormatting>
  <conditionalFormatting sqref="B52:J59 W52:Z59">
    <cfRule type="expression" dxfId="167" priority="231">
      <formula>OR($BC52="1000 контактов",$BC52="Секунда",$BC52="Контакты")</formula>
    </cfRule>
  </conditionalFormatting>
  <conditionalFormatting sqref="J51:J59">
    <cfRule type="expression" dxfId="166" priority="226">
      <formula>J51&lt;&gt;$BH51</formula>
    </cfRule>
  </conditionalFormatting>
  <conditionalFormatting sqref="I51:I59">
    <cfRule type="expression" dxfId="165" priority="225">
      <formula>I51&lt;&gt;$BG51</formula>
    </cfRule>
  </conditionalFormatting>
  <conditionalFormatting sqref="K52:V59">
    <cfRule type="expression" dxfId="164" priority="223">
      <formula>NOT(OR(ISBLANK(K52),ISNUMBER(K52)))</formula>
    </cfRule>
  </conditionalFormatting>
  <conditionalFormatting sqref="K52:V59 AA52:AM59">
    <cfRule type="expression" dxfId="163" priority="228">
      <formula>OR($BC52="1000 контактов",$BC52="Секунда",$BC52="Контакты")</formula>
    </cfRule>
  </conditionalFormatting>
  <conditionalFormatting sqref="Z51:Z59">
    <cfRule type="cellIs" dxfId="162" priority="230" operator="notEqual">
      <formula>0</formula>
    </cfRule>
  </conditionalFormatting>
  <conditionalFormatting sqref="K52:V59 AA52:AM59">
    <cfRule type="expression" dxfId="161" priority="224">
      <formula>NOT(OR($BC52="1000 контактов",$BC52="Секунда",$BC52="Контакты"))</formula>
    </cfRule>
  </conditionalFormatting>
  <conditionalFormatting sqref="Z60">
    <cfRule type="cellIs" dxfId="160" priority="184" operator="equal">
      <formula>0</formula>
    </cfRule>
  </conditionalFormatting>
  <conditionalFormatting sqref="AA60:AL60 K60:V60">
    <cfRule type="expression" dxfId="159" priority="176">
      <formula>ISNUMBER(K60)</formula>
    </cfRule>
  </conditionalFormatting>
  <conditionalFormatting sqref="B60:J60 W60:Z60">
    <cfRule type="expression" dxfId="158" priority="183">
      <formula>OR($BC60="1000 контактов",$BC60="Секунда",$BC60="Контакты")</formula>
    </cfRule>
  </conditionalFormatting>
  <conditionalFormatting sqref="J60">
    <cfRule type="expression" dxfId="157" priority="180">
      <formula>J60&lt;&gt;$BH60</formula>
    </cfRule>
  </conditionalFormatting>
  <conditionalFormatting sqref="I60">
    <cfRule type="expression" dxfId="156" priority="179">
      <formula>I60&lt;&gt;$BG60</formula>
    </cfRule>
  </conditionalFormatting>
  <conditionalFormatting sqref="K60:V60">
    <cfRule type="expression" dxfId="155" priority="177">
      <formula>NOT(OR(ISBLANK(K60),ISNUMBER(K60)))</formula>
    </cfRule>
  </conditionalFormatting>
  <conditionalFormatting sqref="K60:V60 AA60:AM60">
    <cfRule type="expression" dxfId="154" priority="181">
      <formula>OR($BC60="1000 контактов",$BC60="Секунда",$BC60="Контакты")</formula>
    </cfRule>
  </conditionalFormatting>
  <conditionalFormatting sqref="Z60">
    <cfRule type="cellIs" dxfId="153" priority="182" operator="notEqual">
      <formula>0</formula>
    </cfRule>
  </conditionalFormatting>
  <conditionalFormatting sqref="K60:V60 AA60:AM60">
    <cfRule type="expression" dxfId="152" priority="178">
      <formula>NOT(OR($BC60="1000 контактов",$BC60="Секунда",$BC60="Контакты"))</formula>
    </cfRule>
  </conditionalFormatting>
  <conditionalFormatting sqref="Z61">
    <cfRule type="cellIs" dxfId="151" priority="175" operator="equal">
      <formula>0</formula>
    </cfRule>
  </conditionalFormatting>
  <conditionalFormatting sqref="AA61:AL61 K61:V61">
    <cfRule type="expression" dxfId="150" priority="167">
      <formula>ISNUMBER(K61)</formula>
    </cfRule>
  </conditionalFormatting>
  <conditionalFormatting sqref="B61:J61 W61:Z61">
    <cfRule type="expression" dxfId="149" priority="174">
      <formula>OR($BC61="1000 контактов",$BC61="Секунда",$BC61="Контакты")</formula>
    </cfRule>
  </conditionalFormatting>
  <conditionalFormatting sqref="J61">
    <cfRule type="expression" dxfId="148" priority="171">
      <formula>J61&lt;&gt;$BH61</formula>
    </cfRule>
  </conditionalFormatting>
  <conditionalFormatting sqref="I61">
    <cfRule type="expression" dxfId="147" priority="170">
      <formula>I61&lt;&gt;$BG61</formula>
    </cfRule>
  </conditionalFormatting>
  <conditionalFormatting sqref="K61:V61">
    <cfRule type="expression" dxfId="146" priority="168">
      <formula>NOT(OR(ISBLANK(K61),ISNUMBER(K61)))</formula>
    </cfRule>
  </conditionalFormatting>
  <conditionalFormatting sqref="K61:V61 AA61:AM61">
    <cfRule type="expression" dxfId="145" priority="172">
      <formula>OR($BC61="1000 контактов",$BC61="Секунда",$BC61="Контакты")</formula>
    </cfRule>
  </conditionalFormatting>
  <conditionalFormatting sqref="Z61">
    <cfRule type="cellIs" dxfId="144" priority="173" operator="notEqual">
      <formula>0</formula>
    </cfRule>
  </conditionalFormatting>
  <conditionalFormatting sqref="K61:V61 AA61:AM61">
    <cfRule type="expression" dxfId="143" priority="169">
      <formula>NOT(OR($BC61="1000 контактов",$BC61="Секунда",$BC61="Контакты"))</formula>
    </cfRule>
  </conditionalFormatting>
  <conditionalFormatting sqref="Z62">
    <cfRule type="cellIs" dxfId="142" priority="94" operator="equal">
      <formula>0</formula>
    </cfRule>
  </conditionalFormatting>
  <conditionalFormatting sqref="AA62:AL62 K62:V62">
    <cfRule type="expression" dxfId="141" priority="86">
      <formula>ISNUMBER(K62)</formula>
    </cfRule>
  </conditionalFormatting>
  <conditionalFormatting sqref="B62:J62 W62:Z62">
    <cfRule type="expression" dxfId="140" priority="93">
      <formula>OR($BC62="1000 контактов",$BC62="Секунда",$BC62="Контакты")</formula>
    </cfRule>
  </conditionalFormatting>
  <conditionalFormatting sqref="J62">
    <cfRule type="expression" dxfId="139" priority="90">
      <formula>J62&lt;&gt;$BH62</formula>
    </cfRule>
  </conditionalFormatting>
  <conditionalFormatting sqref="I62">
    <cfRule type="expression" dxfId="138" priority="89">
      <formula>I62&lt;&gt;$BG62</formula>
    </cfRule>
  </conditionalFormatting>
  <conditionalFormatting sqref="K62:V62">
    <cfRule type="expression" dxfId="137" priority="87">
      <formula>NOT(OR(ISBLANK(K62),ISNUMBER(K62)))</formula>
    </cfRule>
  </conditionalFormatting>
  <conditionalFormatting sqref="K62:V62 AA62:AM62">
    <cfRule type="expression" dxfId="136" priority="91">
      <formula>OR($BC62="1000 контактов",$BC62="Секунда",$BC62="Контакты")</formula>
    </cfRule>
  </conditionalFormatting>
  <conditionalFormatting sqref="Z62">
    <cfRule type="cellIs" dxfId="135" priority="92" operator="notEqual">
      <formula>0</formula>
    </cfRule>
  </conditionalFormatting>
  <conditionalFormatting sqref="K62:V62 AA62:AM62">
    <cfRule type="expression" dxfId="134" priority="88">
      <formula>NOT(OR($BC62="1000 контактов",$BC62="Секунда",$BC62="Контакты"))</formula>
    </cfRule>
  </conditionalFormatting>
  <conditionalFormatting sqref="Y51">
    <cfRule type="expression" dxfId="133" priority="28">
      <formula>Y51=INDEX(indDiscMaxX,MATCH($AN51,indPrefixX,0))</formula>
    </cfRule>
    <cfRule type="expression" dxfId="132" priority="29">
      <formula>Y51&lt;&gt;$BE51</formula>
    </cfRule>
  </conditionalFormatting>
  <conditionalFormatting sqref="Z133">
    <cfRule type="cellIs" dxfId="131" priority="38" operator="equal">
      <formula>0</formula>
    </cfRule>
  </conditionalFormatting>
  <conditionalFormatting sqref="AA133:AL133 K133:V133">
    <cfRule type="expression" dxfId="130" priority="30">
      <formula>ISNUMBER(K133)</formula>
    </cfRule>
  </conditionalFormatting>
  <conditionalFormatting sqref="B133:J133 W133:Z133">
    <cfRule type="expression" dxfId="129" priority="37">
      <formula>OR($BC133="1000 контактов",$BC133="Секунда",$BC133="Контакты")</formula>
    </cfRule>
  </conditionalFormatting>
  <conditionalFormatting sqref="J133">
    <cfRule type="expression" dxfId="128" priority="34">
      <formula>J133&lt;&gt;$BH133</formula>
    </cfRule>
  </conditionalFormatting>
  <conditionalFormatting sqref="I133">
    <cfRule type="expression" dxfId="127" priority="33">
      <formula>I133&lt;&gt;$BG133</formula>
    </cfRule>
  </conditionalFormatting>
  <conditionalFormatting sqref="K133:V133">
    <cfRule type="expression" dxfId="126" priority="31">
      <formula>NOT(OR(ISBLANK(K133),ISNUMBER(K133)))</formula>
    </cfRule>
  </conditionalFormatting>
  <conditionalFormatting sqref="K133:V133 AA133:AM133">
    <cfRule type="expression" dxfId="125" priority="35">
      <formula>OR($BC133="1000 контактов",$BC133="Секунда",$BC133="Контакты")</formula>
    </cfRule>
  </conditionalFormatting>
  <conditionalFormatting sqref="Z133">
    <cfRule type="cellIs" dxfId="124" priority="36" operator="notEqual">
      <formula>0</formula>
    </cfRule>
  </conditionalFormatting>
  <conditionalFormatting sqref="K133:V133 AA133:AM133">
    <cfRule type="expression" dxfId="123" priority="32">
      <formula>NOT(OR($BC133="1000 контактов",$BC133="Секунда",$BC133="Контакты"))</formula>
    </cfRule>
  </conditionalFormatting>
  <conditionalFormatting sqref="Z264">
    <cfRule type="cellIs" dxfId="122" priority="27" operator="equal">
      <formula>0</formula>
    </cfRule>
  </conditionalFormatting>
  <conditionalFormatting sqref="K264:V264 AA264:AL264">
    <cfRule type="expression" dxfId="121" priority="19">
      <formula>ISNUMBER(K264)</formula>
    </cfRule>
  </conditionalFormatting>
  <conditionalFormatting sqref="W264:Z264 B264:J264">
    <cfRule type="expression" dxfId="120" priority="26">
      <formula>OR($BC264="1000 контактов",$BC264="Секунда",$BC264="Контакты")</formula>
    </cfRule>
  </conditionalFormatting>
  <conditionalFormatting sqref="J264">
    <cfRule type="expression" dxfId="119" priority="23">
      <formula>J264&lt;&gt;$BH264</formula>
    </cfRule>
  </conditionalFormatting>
  <conditionalFormatting sqref="I264">
    <cfRule type="expression" dxfId="118" priority="22">
      <formula>I264&lt;&gt;$BG264</formula>
    </cfRule>
  </conditionalFormatting>
  <conditionalFormatting sqref="K264:V264">
    <cfRule type="expression" dxfId="117" priority="20">
      <formula>NOT(OR(ISBLANK(K264),ISNUMBER(K264)))</formula>
    </cfRule>
  </conditionalFormatting>
  <conditionalFormatting sqref="K264:V264 AA264:AM264">
    <cfRule type="expression" dxfId="116" priority="24">
      <formula>OR($BC264="1000 контактов",$BC264="Секунда",$BC264="Контакты")</formula>
    </cfRule>
  </conditionalFormatting>
  <conditionalFormatting sqref="Z264">
    <cfRule type="cellIs" dxfId="115" priority="25" operator="notEqual">
      <formula>0</formula>
    </cfRule>
  </conditionalFormatting>
  <conditionalFormatting sqref="K264:V264 AA264:AM264">
    <cfRule type="expression" dxfId="114" priority="21">
      <formula>NOT(OR($BC264="1000 контактов",$BC264="Секунда",$BC264="Контакты"))</formula>
    </cfRule>
  </conditionalFormatting>
  <conditionalFormatting sqref="Z265">
    <cfRule type="cellIs" dxfId="113" priority="18" operator="equal">
      <formula>0</formula>
    </cfRule>
  </conditionalFormatting>
  <conditionalFormatting sqref="K265:V265 AA265:AL265">
    <cfRule type="expression" dxfId="112" priority="10">
      <formula>ISNUMBER(K265)</formula>
    </cfRule>
  </conditionalFormatting>
  <conditionalFormatting sqref="W265:Z265 B265:J265">
    <cfRule type="expression" dxfId="111" priority="17">
      <formula>OR($BC265="1000 контактов",$BC265="Секунда",$BC265="Контакты")</formula>
    </cfRule>
  </conditionalFormatting>
  <conditionalFormatting sqref="J265">
    <cfRule type="expression" dxfId="110" priority="14">
      <formula>J265&lt;&gt;$BH265</formula>
    </cfRule>
  </conditionalFormatting>
  <conditionalFormatting sqref="I265">
    <cfRule type="expression" dxfId="109" priority="13">
      <formula>I265&lt;&gt;$BG265</formula>
    </cfRule>
  </conditionalFormatting>
  <conditionalFormatting sqref="K265:V265">
    <cfRule type="expression" dxfId="108" priority="11">
      <formula>NOT(OR(ISBLANK(K265),ISNUMBER(K265)))</formula>
    </cfRule>
  </conditionalFormatting>
  <conditionalFormatting sqref="K265:V265 AA265:AM265">
    <cfRule type="expression" dxfId="107" priority="15">
      <formula>OR($BC265="1000 контактов",$BC265="Секунда",$BC265="Контакты")</formula>
    </cfRule>
  </conditionalFormatting>
  <conditionalFormatting sqref="Z265">
    <cfRule type="cellIs" dxfId="106" priority="16" operator="notEqual">
      <formula>0</formula>
    </cfRule>
  </conditionalFormatting>
  <conditionalFormatting sqref="K265:V265 AA265:AM265">
    <cfRule type="expression" dxfId="105" priority="12">
      <formula>NOT(OR($BC265="1000 контактов",$BC265="Секунда",$BC265="Контакты"))</formula>
    </cfRule>
  </conditionalFormatting>
  <conditionalFormatting sqref="Z266">
    <cfRule type="cellIs" dxfId="104" priority="9" operator="equal">
      <formula>0</formula>
    </cfRule>
  </conditionalFormatting>
  <conditionalFormatting sqref="K266:V266 AA266:AL266">
    <cfRule type="expression" dxfId="103" priority="1">
      <formula>ISNUMBER(K266)</formula>
    </cfRule>
  </conditionalFormatting>
  <conditionalFormatting sqref="W266:Z266 B266:J266">
    <cfRule type="expression" dxfId="102" priority="8">
      <formula>OR($BC266="1000 контактов",$BC266="Секунда",$BC266="Контакты")</formula>
    </cfRule>
  </conditionalFormatting>
  <conditionalFormatting sqref="J266">
    <cfRule type="expression" dxfId="101" priority="5">
      <formula>J266&lt;&gt;$BH266</formula>
    </cfRule>
  </conditionalFormatting>
  <conditionalFormatting sqref="I266">
    <cfRule type="expression" dxfId="100" priority="4">
      <formula>I266&lt;&gt;$BG266</formula>
    </cfRule>
  </conditionalFormatting>
  <conditionalFormatting sqref="K266:V266">
    <cfRule type="expression" dxfId="99" priority="2">
      <formula>NOT(OR(ISBLANK(K266),ISNUMBER(K266)))</formula>
    </cfRule>
  </conditionalFormatting>
  <conditionalFormatting sqref="K266:V266 AA266:AM266">
    <cfRule type="expression" dxfId="98" priority="6">
      <formula>OR($BC266="1000 контактов",$BC266="Секунда",$BC266="Контакты")</formula>
    </cfRule>
  </conditionalFormatting>
  <conditionalFormatting sqref="Z266">
    <cfRule type="cellIs" dxfId="97" priority="7" operator="notEqual">
      <formula>0</formula>
    </cfRule>
  </conditionalFormatting>
  <conditionalFormatting sqref="K266:V266 AA266:AM266">
    <cfRule type="expression" dxfId="96" priority="3">
      <formula>NOT(OR($BC266="1000 контактов",$BC266="Секунда",$BC266="Контакты"))</formula>
    </cfRule>
  </conditionalFormatting>
  <dataValidations count="1">
    <dataValidation allowBlank="1" showErrorMessage="1" sqref="I327:J327 I279:J279 I290:J290 I284:J284 I304:J304 I309:J309 I253:J253 I257:J257 I248:J248 I227:J227 I244:J244 I67:J67 I82:J82 I177:J177 I206:J206 I166:J166 I157:J157 I145:J145 I120:J120 I136:J136 I127:J127 I210:J210 I101:J101 I104:J104 I113:J113 I297:J297 I63:J63 I11:J11 I272:J272 I51:J51"/>
  </dataValidations>
  <hyperlinks>
    <hyperlink ref="C11" location="'Yandex.ru'!R1C1" tooltip="Перейти к прайс-листу Yandex.ru" display="'Yandex.ru'!R1C1"/>
    <hyperlink ref="C63" location="'VK.com'!R1C1" tooltip="Перейти к прайс-листу VK.com" display="'VK.com'!R1C1"/>
    <hyperlink ref="C82" location="'Afisha.ru'!R1C1" tooltip="Перейти к прайс-листу Afisha.ru" display="'Afisha.ru'!R1C1"/>
    <hyperlink ref="C101" location="'Rusnovosti.ru'!R1C1" tooltip="Перейти к прайс-листу Rusnovosti.ru" display="'Rusnovosti.ru'!R1C1"/>
    <hyperlink ref="C127" location="'Kommersant.ru'!R1C1" tooltip="Перейти к прайс-листу Kommersant.ru" display="'Kommersant.ru'!R1C1"/>
    <hyperlink ref="C136" location="'Newsru.com'!R1C1" tooltip="Перейти к прайс-листу Newsru.com" display="'Newsru.com'!R1C1"/>
    <hyperlink ref="C145" location="'WMJ.ru'!R1C1" tooltip="Перейти к прайс-листу WMJ.ru" display="'WMJ.ru'!R1C1"/>
    <hyperlink ref="C157" location="'Passion.ru'!R1C1" tooltip="Перейти к прайс-листу Passion.ru" display="'Passion.ru'!R1C1"/>
    <hyperlink ref="C166" location="'Vesti.ru'!R1C1" tooltip="Перейти к прайс-листу Vesti.ru" display="'Vesti.ru'!R1C1"/>
    <hyperlink ref="C177" location="'RIA.ru'!R1C1" tooltip="Перейти к прайс-листу RIA.ru" display="'RIA.ru'!R1C1"/>
    <hyperlink ref="C206" location="'Inopressa.ru'!R1C1" tooltip="Перейти к прайс-листу Inopressa.ru" display="'Inopressa.ru'!R1C1"/>
    <hyperlink ref="C210" location="'Liveinternet.ru'!R1C1" tooltip="Перейти к прайс-листу Liveinternet.ru" display="'Liveinternet.ru'!R1C1"/>
    <hyperlink ref="C227" location="'Sports.ru'!R1C1" tooltip="Перейти к прайс-листу Sports.ru" display="'Sports.ru'!R1C1"/>
    <hyperlink ref="C244" location="'Auto.ru'!R1C1" tooltip="Перейти к прайс-листу Auto.ru" display="'Auto.ru'!R1C1"/>
    <hyperlink ref="C248" location="'3dnews.ru'!R1C1" tooltip="Перейти к прайс-листу 3dnews.ru" display="'3dnews.ru'!R1C1"/>
    <hyperlink ref="C253" location="'Vokrugsveta.ru'!R1C1" tooltip="Перейти к прайс-листу Vokrugsveta.ru" display="'Vokrugsveta.ru'!R1C1"/>
    <hyperlink ref="C257" location="'Friday.ru'!R1C1" tooltip="Перейти к прайс-листу Friday.ru" display="'Friday.ru'!R1C1"/>
    <hyperlink ref="C279" location="'GoodHouse.ru'!R1C1" tooltip="Перейти к прайс-листу GoodHouse.ru" display="'GoodHouse.ru'!R1C1"/>
    <hyperlink ref="C284" location="'Medportal.ru'!R1C1" tooltip="Перейти к прайс-листу Medportal.ru" display="'Medportal.ru'!R1C1"/>
    <hyperlink ref="C290" location="'Tvidi.ru'!R1C1" tooltip="Перейти к прайс-листу Tvidi.ru" display="'Tvidi.ru'!R1C1"/>
    <hyperlink ref="C304" location="'Echo.Msk.ru'!R1C1" tooltip="Перейти к прайс-листу Echo.Msk.ru" display="'Echo.Msk.ru'!R1C1"/>
    <hyperlink ref="C309" location="'F1News.ru'!R1C1" tooltip="Перейти к прайс-листу F1News.ru" display="'F1News.ru'!R1C1"/>
    <hyperlink ref="C327" location="'Видеосеть'!R1C1" tooltip="Перейти к прайс-листу Видеосеть" display="'Видеосеть'!R1C1"/>
    <hyperlink ref="C104" location="'Avito.ru'!R1C1" tooltip="Перейти к прайс-листу Avito.ru" display="'Avito.ru'!R1C1"/>
    <hyperlink ref="C113" location="'Muz-tv.ru'!R1C1" tooltip="Перейти к прайс-листу Muz-tv.ru" display="'Muz-tv.ru'!R1C1"/>
    <hyperlink ref="C120" location="'Motor.ru'!R1C1" tooltip="Перейти к прайс-листу Motor.ru" display="'Motor.ru'!R1C1"/>
    <hyperlink ref="C67" location="'RBC.ru'!R1C1" tooltip="Перейти к прайс-листу RBC.ru" display="'RBC.ru'!R1C1"/>
    <hyperlink ref="C297" location="'Disney.ru'!R1C1" tooltip="Перейти к прайс-листу Disney.ru" display="'Disney.ru'!R1C1"/>
    <hyperlink ref="C272" location="'101.ru'!R1C1" tooltip="Перейти к прайс-листу 101.ru" display="'101.ru'!R1C1"/>
    <hyperlink ref="C51" location="'ЯЗНАЮ'!R1C1" tooltip="Перейти к прайс-листу ЯЗНАЮ" display="'ЯЗНАЮ'!R1C1"/>
  </hyperlinks>
  <printOptions horizontalCentered="1"/>
  <pageMargins left="0.19685039370078741" right="0.19685039370078741" top="0.19685039370078741" bottom="0.19685039370078741" header="0.31496062992125984" footer="0.31496062992125984"/>
  <pageSetup paperSize="9" scale="41" fitToHeight="4" orientation="landscape" r:id="rId1"/>
  <headerFooter alignWithMargins="0"/>
  <ignoredErrors>
    <ignoredError sqref="BA263 BA153 BA12:BA15 BA247:BA255 BA186 BA173:BA184 BA236:BA245 BA317 BA36:BA37 BA39 BA155:BA171 BA279:BA280 BA257:BA261 BA114:BA119 BA105:BA112 BA93:BA102 BA134:BA150 BA322:BA340 BA288:BA296 BA268:BA271 BA63:BA66 BA82:BA90 BF244:BH251 BF227:BI227 BA193:BA232 BA17:BA19 BA304:BA313 BA283:BA286 BA45:BA50 BA121:BA132 BA103" formula="1"/>
    <ignoredError sqref="B4:C7 H4:I8 B93:W95 C82:W83 B267:W267 C263:W263 B112:W112 B114:W119 C113:W113 B121:W126 C120:W120 B154:W154 C153:W153 C340:M340 B256:W256 B79:W81 B319:W321 B192:W192 C186:W186 B185:W185 C173:W184 B151:W152 B246:W246 C236:W245 C317:W317 B172:W172 C155:W171 B281:W281 C279:W280 C257:W261 B214:W215 C193:W213 B217:W225 C216:W216 B298:W303 C247:W255 Y11 I11:W11 J6:J8 C322:W328 Z340 Z36:Z39 C36:W38 B36:B39 B40:AW43 B329:W333 Z319:Z333 B334:AK334 B335:W335 Z335 B337:W338 Z337:Z338 B336:AC336 B339:Z339 B318:AM318 B262:AM262 C39:L39 N39:W39 C65:L65 N65:W65 B97:W100 B96:M96 O96:W96 Y76:Z76 B76:W76 B77:J78 W77:Z78 B105:W107 B108:B111 C108:Z108 C110:Z111 C109:M109 O109:Z109 C101:W104 C134:W150 B190:J191 W190:W191 Z190:Z191 Y134:Z186 Y319:Y327 O340:W340 Y93:Z107 C63:W64 Y63:Z71 C288:W297 Y317:Z317 Y236:Z261 Y267:Z271 C268:W271 I272:J272 W278 Y272 Z278 Z273:Z276 W272:W276 B273:J278 W277:AM277 B73:W74 Y73:Z74 B75:BW75 C66:W67 Y79:Z90 B84:W90 B91:AX92 Y279:Z281 B282:AN282 Y192:Z232 C226:W232 B233:AZ235 BB233:BI235 B11:B19 C12:W19 Z12:Z19 B20:CB34 B35:AU35 Y288:Z313 C304:W313 B314:CD316 Y283:Z286 C283:W286 B287:CK287 B68:W71 B72:AY72 Z187:Z188 W187:W188 B187:J188 B189:BX189 Z44:Z50 B44:W50 I51:Y51 B52:J62 W52:AZ62 BB52:BS62 Y112:Z132 C127:W132 B133:BX133 Y263:Z263 B264:CE266" unlockedFormula="1"/>
    <ignoredError sqref="B216 B193:B213 B257:B261 B279:B280 B155:B171 B236:B245 B173:B184 B186 B317 B247:B255 B340 B153 B120 B113 B103:B104 B263 B82:B83 B101:B102 B134:B150 B322:B328 B288:B297 B268:B272 B63:B67 B226:B232 BA233:BA235 B304:B313 B283:B286 B51 BA52:BA62 B127:B132" formula="1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2945" r:id="rId4" name="Check Box 1">
              <controlPr defaultSize="0" autoFill="0" autoLine="0" autoPict="0">
                <anchor moveWithCells="1">
                  <from>
                    <xdr:col>8</xdr:col>
                    <xdr:colOff>28575</xdr:colOff>
                    <xdr:row>5</xdr:row>
                    <xdr:rowOff>28575</xdr:rowOff>
                  </from>
                  <to>
                    <xdr:col>8</xdr:col>
                    <xdr:colOff>333375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46" r:id="rId5" name="Check Box 2">
              <controlPr defaultSize="0" autoFill="0" autoLine="0" autoPict="0">
                <anchor moveWithCells="1">
                  <from>
                    <xdr:col>8</xdr:col>
                    <xdr:colOff>28575</xdr:colOff>
                    <xdr:row>7</xdr:row>
                    <xdr:rowOff>28575</xdr:rowOff>
                  </from>
                  <to>
                    <xdr:col>8</xdr:col>
                    <xdr:colOff>333375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47" r:id="rId6" name="Check Box 3">
              <controlPr defaultSize="0" autoFill="0" autoLine="0" autoPict="0">
                <anchor moveWithCells="1">
                  <from>
                    <xdr:col>8</xdr:col>
                    <xdr:colOff>28575</xdr:colOff>
                    <xdr:row>6</xdr:row>
                    <xdr:rowOff>28575</xdr:rowOff>
                  </from>
                  <to>
                    <xdr:col>8</xdr:col>
                    <xdr:colOff>333375</xdr:colOff>
                    <xdr:row>6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4">
    <tabColor rgb="FF92D050"/>
    <pageSetUpPr fitToPage="1"/>
  </sheetPr>
  <dimension ref="A1:J53"/>
  <sheetViews>
    <sheetView showGridLines="0" zoomScale="80" zoomScaleNormal="80" workbookViewId="0"/>
  </sheetViews>
  <sheetFormatPr defaultColWidth="9.140625" defaultRowHeight="12.75" x14ac:dyDescent="0.2"/>
  <cols>
    <col min="1" max="1" width="2.5703125" style="60" customWidth="1"/>
    <col min="2" max="2" width="33" style="60" customWidth="1"/>
    <col min="3" max="3" width="57.140625" style="60" customWidth="1"/>
    <col min="4" max="7" width="15.7109375" style="60" customWidth="1"/>
    <col min="8" max="9" width="15.7109375" style="253" customWidth="1"/>
    <col min="10" max="10" width="43.42578125" style="60" customWidth="1"/>
    <col min="11" max="11" width="10.28515625" style="60" customWidth="1"/>
    <col min="12" max="16384" width="9.140625" style="60"/>
  </cols>
  <sheetData>
    <row r="1" spans="2:10" x14ac:dyDescent="0.2">
      <c r="J1" s="253"/>
    </row>
    <row r="2" spans="2:10" ht="18" x14ac:dyDescent="0.2">
      <c r="B2" s="76" t="s">
        <v>22</v>
      </c>
      <c r="C2" s="12"/>
      <c r="D2" s="574" t="str">
        <f>СПЛИТ!$B$3</f>
        <v>Версия прайс-листа: 23.09.2013</v>
      </c>
    </row>
    <row r="3" spans="2:10" x14ac:dyDescent="0.2">
      <c r="B3" s="3" t="s">
        <v>198</v>
      </c>
      <c r="C3" s="4"/>
    </row>
    <row r="5" spans="2:10" x14ac:dyDescent="0.2">
      <c r="B5" s="6" t="s">
        <v>303</v>
      </c>
      <c r="C5" s="4"/>
      <c r="D5" s="4"/>
      <c r="E5" s="4"/>
    </row>
    <row r="6" spans="2:10" x14ac:dyDescent="0.2">
      <c r="B6" s="328" t="s">
        <v>89</v>
      </c>
      <c r="C6" s="328" t="s">
        <v>286</v>
      </c>
    </row>
    <row r="7" spans="2:10" x14ac:dyDescent="0.2">
      <c r="B7" s="9" t="s">
        <v>79</v>
      </c>
      <c r="C7" s="285">
        <v>0.8</v>
      </c>
      <c r="D7" s="304"/>
    </row>
    <row r="8" spans="2:10" x14ac:dyDescent="0.2">
      <c r="B8" s="10" t="s">
        <v>80</v>
      </c>
      <c r="C8" s="286">
        <v>0.9</v>
      </c>
      <c r="D8" s="304"/>
    </row>
    <row r="9" spans="2:10" x14ac:dyDescent="0.2">
      <c r="B9" s="10" t="s">
        <v>81</v>
      </c>
      <c r="C9" s="286">
        <v>1</v>
      </c>
      <c r="D9" s="304"/>
    </row>
    <row r="10" spans="2:10" x14ac:dyDescent="0.2">
      <c r="B10" s="10" t="s">
        <v>82</v>
      </c>
      <c r="C10" s="286">
        <v>1</v>
      </c>
      <c r="D10" s="304"/>
    </row>
    <row r="11" spans="2:10" x14ac:dyDescent="0.2">
      <c r="B11" s="10" t="s">
        <v>83</v>
      </c>
      <c r="C11" s="286">
        <v>1</v>
      </c>
      <c r="D11" s="304"/>
    </row>
    <row r="12" spans="2:10" x14ac:dyDescent="0.2">
      <c r="B12" s="10" t="s">
        <v>84</v>
      </c>
      <c r="C12" s="286">
        <v>1</v>
      </c>
      <c r="D12" s="304"/>
    </row>
    <row r="13" spans="2:10" x14ac:dyDescent="0.2">
      <c r="B13" s="10" t="s">
        <v>85</v>
      </c>
      <c r="C13" s="286">
        <v>0.9</v>
      </c>
      <c r="D13" s="304"/>
    </row>
    <row r="14" spans="2:10" x14ac:dyDescent="0.2">
      <c r="B14" s="10" t="s">
        <v>74</v>
      </c>
      <c r="C14" s="286">
        <v>0.9</v>
      </c>
      <c r="D14" s="304"/>
    </row>
    <row r="15" spans="2:10" x14ac:dyDescent="0.2">
      <c r="B15" s="10" t="s">
        <v>75</v>
      </c>
      <c r="C15" s="286">
        <v>1.3</v>
      </c>
      <c r="D15" s="304"/>
    </row>
    <row r="16" spans="2:10" x14ac:dyDescent="0.2">
      <c r="B16" s="10" t="s">
        <v>86</v>
      </c>
      <c r="C16" s="286">
        <v>1.3</v>
      </c>
      <c r="D16" s="304"/>
    </row>
    <row r="17" spans="1:10" x14ac:dyDescent="0.2">
      <c r="B17" s="10" t="s">
        <v>87</v>
      </c>
      <c r="C17" s="286">
        <v>1.3</v>
      </c>
      <c r="D17" s="304"/>
    </row>
    <row r="18" spans="1:10" x14ac:dyDescent="0.2">
      <c r="B18" s="11" t="s">
        <v>88</v>
      </c>
      <c r="C18" s="287">
        <v>1.3</v>
      </c>
      <c r="D18" s="304"/>
    </row>
    <row r="19" spans="1:10" s="304" customFormat="1" x14ac:dyDescent="0.2">
      <c r="B19" s="15"/>
      <c r="C19" s="16"/>
      <c r="H19" s="306"/>
      <c r="I19" s="306"/>
    </row>
    <row r="22" spans="1:10" ht="44.25" customHeight="1" x14ac:dyDescent="0.55000000000000004">
      <c r="A22" s="319"/>
      <c r="B22" s="320" t="s">
        <v>278</v>
      </c>
      <c r="C22" s="320" t="s">
        <v>279</v>
      </c>
      <c r="D22" s="320" t="s">
        <v>275</v>
      </c>
      <c r="E22" s="320" t="s">
        <v>280</v>
      </c>
      <c r="F22" s="321" t="s">
        <v>395</v>
      </c>
      <c r="G22" s="321" t="s">
        <v>111</v>
      </c>
      <c r="H22" s="322" t="s">
        <v>282</v>
      </c>
      <c r="I22" s="322" t="s">
        <v>283</v>
      </c>
      <c r="J22" s="321" t="s">
        <v>285</v>
      </c>
    </row>
    <row r="23" spans="1:10" x14ac:dyDescent="0.2">
      <c r="B23" s="298" t="s">
        <v>113</v>
      </c>
      <c r="C23" s="288" t="s">
        <v>649</v>
      </c>
      <c r="D23" s="290">
        <v>224000</v>
      </c>
      <c r="E23" s="289" t="s">
        <v>96</v>
      </c>
      <c r="F23" s="290">
        <v>800</v>
      </c>
      <c r="G23" s="291">
        <f t="shared" ref="G23:G29" si="0">D23/F23</f>
        <v>280</v>
      </c>
      <c r="H23" s="296">
        <v>0.25</v>
      </c>
      <c r="I23" s="296">
        <v>0.15</v>
      </c>
      <c r="J23" s="331" t="s">
        <v>891</v>
      </c>
    </row>
    <row r="24" spans="1:10" x14ac:dyDescent="0.2">
      <c r="B24" s="298" t="s">
        <v>113</v>
      </c>
      <c r="C24" s="288" t="s">
        <v>652</v>
      </c>
      <c r="D24" s="290">
        <v>468000</v>
      </c>
      <c r="E24" s="289" t="s">
        <v>96</v>
      </c>
      <c r="F24" s="290">
        <v>1800</v>
      </c>
      <c r="G24" s="291">
        <f>D24/F24</f>
        <v>260</v>
      </c>
      <c r="H24" s="296">
        <v>0.25</v>
      </c>
      <c r="I24" s="296">
        <v>0.15</v>
      </c>
      <c r="J24" s="331" t="s">
        <v>891</v>
      </c>
    </row>
    <row r="25" spans="1:10" x14ac:dyDescent="0.2">
      <c r="B25" s="298" t="s">
        <v>113</v>
      </c>
      <c r="C25" s="288" t="s">
        <v>653</v>
      </c>
      <c r="D25" s="290">
        <v>360000</v>
      </c>
      <c r="E25" s="289" t="s">
        <v>96</v>
      </c>
      <c r="F25" s="290">
        <v>800</v>
      </c>
      <c r="G25" s="291">
        <f t="shared" si="0"/>
        <v>450</v>
      </c>
      <c r="H25" s="296">
        <v>0.25</v>
      </c>
      <c r="I25" s="296">
        <v>0.15</v>
      </c>
      <c r="J25" s="331" t="s">
        <v>891</v>
      </c>
    </row>
    <row r="26" spans="1:10" x14ac:dyDescent="0.2">
      <c r="B26" s="298" t="s">
        <v>113</v>
      </c>
      <c r="C26" s="288" t="s">
        <v>650</v>
      </c>
      <c r="D26" s="290">
        <v>480000</v>
      </c>
      <c r="E26" s="289" t="s">
        <v>96</v>
      </c>
      <c r="F26" s="290">
        <v>1200</v>
      </c>
      <c r="G26" s="291">
        <f t="shared" si="0"/>
        <v>400</v>
      </c>
      <c r="H26" s="296">
        <v>0.25</v>
      </c>
      <c r="I26" s="296">
        <v>0.15</v>
      </c>
      <c r="J26" s="331" t="s">
        <v>891</v>
      </c>
    </row>
    <row r="27" spans="1:10" x14ac:dyDescent="0.2">
      <c r="B27" s="298" t="s">
        <v>113</v>
      </c>
      <c r="C27" s="288" t="s">
        <v>651</v>
      </c>
      <c r="D27" s="290">
        <v>630000</v>
      </c>
      <c r="E27" s="289" t="s">
        <v>96</v>
      </c>
      <c r="F27" s="290">
        <v>1800</v>
      </c>
      <c r="G27" s="291">
        <f t="shared" si="0"/>
        <v>350</v>
      </c>
      <c r="H27" s="296">
        <v>0.25</v>
      </c>
      <c r="I27" s="296">
        <v>0.15</v>
      </c>
      <c r="J27" s="331" t="s">
        <v>891</v>
      </c>
    </row>
    <row r="28" spans="1:10" x14ac:dyDescent="0.2">
      <c r="B28" s="298" t="s">
        <v>113</v>
      </c>
      <c r="C28" s="288" t="s">
        <v>147</v>
      </c>
      <c r="D28" s="290">
        <v>300</v>
      </c>
      <c r="E28" s="289" t="s">
        <v>101</v>
      </c>
      <c r="F28" s="290">
        <v>1</v>
      </c>
      <c r="G28" s="291">
        <v>300</v>
      </c>
      <c r="H28" s="296">
        <v>0.25</v>
      </c>
      <c r="I28" s="296">
        <v>0.15</v>
      </c>
      <c r="J28" s="331" t="s">
        <v>891</v>
      </c>
    </row>
    <row r="29" spans="1:10" ht="13.5" customHeight="1" x14ac:dyDescent="0.2">
      <c r="B29" s="298" t="s">
        <v>113</v>
      </c>
      <c r="C29" s="288" t="s">
        <v>117</v>
      </c>
      <c r="D29" s="290">
        <v>500</v>
      </c>
      <c r="E29" s="289" t="s">
        <v>101</v>
      </c>
      <c r="F29" s="290">
        <v>1</v>
      </c>
      <c r="G29" s="291">
        <f t="shared" si="0"/>
        <v>500</v>
      </c>
      <c r="H29" s="296">
        <v>0.25</v>
      </c>
      <c r="I29" s="296">
        <v>0.15</v>
      </c>
      <c r="J29" s="331" t="s">
        <v>891</v>
      </c>
    </row>
    <row r="30" spans="1:10" ht="13.5" customHeight="1" x14ac:dyDescent="0.2">
      <c r="B30" s="298" t="s">
        <v>529</v>
      </c>
      <c r="C30" s="288" t="s">
        <v>530</v>
      </c>
      <c r="D30" s="290">
        <v>500</v>
      </c>
      <c r="E30" s="289" t="s">
        <v>101</v>
      </c>
      <c r="F30" s="290">
        <v>1</v>
      </c>
      <c r="G30" s="291">
        <f t="shared" ref="G30" si="1">D30/F30</f>
        <v>500</v>
      </c>
      <c r="H30" s="296">
        <v>0.25</v>
      </c>
      <c r="I30" s="296">
        <v>0.15</v>
      </c>
      <c r="J30" s="331" t="s">
        <v>531</v>
      </c>
    </row>
    <row r="31" spans="1:10" ht="13.5" customHeight="1" x14ac:dyDescent="0.2">
      <c r="B31" s="298" t="s">
        <v>116</v>
      </c>
      <c r="C31" s="288" t="s">
        <v>471</v>
      </c>
      <c r="D31" s="290">
        <v>400</v>
      </c>
      <c r="E31" s="289" t="s">
        <v>101</v>
      </c>
      <c r="F31" s="290">
        <v>1</v>
      </c>
      <c r="G31" s="291">
        <f>D31/F31</f>
        <v>400</v>
      </c>
      <c r="H31" s="296">
        <v>0.25</v>
      </c>
      <c r="I31" s="296">
        <v>0.15</v>
      </c>
      <c r="J31" s="331"/>
    </row>
    <row r="32" spans="1:10" ht="13.5" customHeight="1" x14ac:dyDescent="0.2">
      <c r="B32" s="298" t="s">
        <v>116</v>
      </c>
      <c r="C32" s="288" t="s">
        <v>528</v>
      </c>
      <c r="D32" s="290">
        <v>2500</v>
      </c>
      <c r="E32" s="289" t="s">
        <v>101</v>
      </c>
      <c r="F32" s="290">
        <v>1</v>
      </c>
      <c r="G32" s="291">
        <f>D32/F32</f>
        <v>2500</v>
      </c>
      <c r="H32" s="296" t="s">
        <v>103</v>
      </c>
      <c r="I32" s="296" t="s">
        <v>103</v>
      </c>
      <c r="J32" s="331" t="s">
        <v>28</v>
      </c>
    </row>
    <row r="33" spans="1:10" x14ac:dyDescent="0.2">
      <c r="B33" s="323" t="s">
        <v>288</v>
      </c>
      <c r="C33" s="324"/>
      <c r="D33" s="325"/>
      <c r="E33" s="325"/>
      <c r="F33" s="325"/>
      <c r="G33" s="325"/>
      <c r="H33" s="326"/>
      <c r="I33" s="326"/>
      <c r="J33" s="327"/>
    </row>
    <row r="37" spans="1:10" x14ac:dyDescent="0.2">
      <c r="B37" s="6" t="s">
        <v>145</v>
      </c>
    </row>
    <row r="38" spans="1:10" ht="15" x14ac:dyDescent="0.2">
      <c r="A38" s="307"/>
      <c r="B38" s="913" t="s">
        <v>304</v>
      </c>
      <c r="C38" s="914"/>
      <c r="D38" s="915"/>
    </row>
    <row r="39" spans="1:10" x14ac:dyDescent="0.2">
      <c r="A39" s="308"/>
      <c r="B39" s="77" t="s">
        <v>3</v>
      </c>
      <c r="C39" s="78">
        <v>0.3</v>
      </c>
      <c r="D39" s="79"/>
    </row>
    <row r="40" spans="1:10" ht="57.75" customHeight="1" x14ac:dyDescent="0.2">
      <c r="A40" s="308"/>
      <c r="B40" s="83" t="s">
        <v>562</v>
      </c>
      <c r="C40" s="84">
        <v>0.5</v>
      </c>
      <c r="D40" s="86"/>
    </row>
    <row r="41" spans="1:10" ht="15" x14ac:dyDescent="0.2">
      <c r="A41" s="307"/>
      <c r="B41" s="913" t="s">
        <v>301</v>
      </c>
      <c r="C41" s="914"/>
      <c r="D41" s="915"/>
    </row>
    <row r="42" spans="1:10" x14ac:dyDescent="0.2">
      <c r="B42" s="80" t="s">
        <v>138</v>
      </c>
      <c r="C42" s="81">
        <v>0</v>
      </c>
      <c r="D42" s="82"/>
    </row>
    <row r="43" spans="1:10" x14ac:dyDescent="0.2">
      <c r="B43" s="80" t="s">
        <v>137</v>
      </c>
      <c r="C43" s="81">
        <v>0</v>
      </c>
      <c r="D43" s="82"/>
    </row>
    <row r="44" spans="1:10" ht="15" x14ac:dyDescent="0.2">
      <c r="A44" s="307"/>
      <c r="B44" s="913" t="s">
        <v>300</v>
      </c>
      <c r="C44" s="914"/>
      <c r="D44" s="915"/>
    </row>
    <row r="45" spans="1:10" x14ac:dyDescent="0.2">
      <c r="A45" s="308"/>
      <c r="B45" s="77" t="s">
        <v>5</v>
      </c>
      <c r="C45" s="78">
        <v>0</v>
      </c>
      <c r="D45" s="79"/>
    </row>
    <row r="46" spans="1:10" x14ac:dyDescent="0.2">
      <c r="A46" s="308"/>
      <c r="B46" s="88" t="s">
        <v>892</v>
      </c>
      <c r="C46" s="89">
        <v>0.3</v>
      </c>
      <c r="D46" s="90"/>
    </row>
    <row r="47" spans="1:10" x14ac:dyDescent="0.2">
      <c r="A47" s="308"/>
      <c r="B47" s="88" t="s">
        <v>35</v>
      </c>
      <c r="C47" s="89" t="s">
        <v>51</v>
      </c>
      <c r="D47" s="107"/>
    </row>
    <row r="48" spans="1:10" x14ac:dyDescent="0.2">
      <c r="A48" s="308"/>
      <c r="B48" s="88" t="s">
        <v>38</v>
      </c>
      <c r="C48" s="89">
        <v>0.5</v>
      </c>
      <c r="D48" s="107"/>
    </row>
    <row r="49" spans="1:4" x14ac:dyDescent="0.2">
      <c r="A49" s="308"/>
      <c r="B49" s="88" t="s">
        <v>141</v>
      </c>
      <c r="C49" s="89">
        <v>0.5</v>
      </c>
      <c r="D49" s="107"/>
    </row>
    <row r="50" spans="1:4" x14ac:dyDescent="0.2">
      <c r="A50" s="308"/>
      <c r="B50" s="88" t="s">
        <v>140</v>
      </c>
      <c r="C50" s="89">
        <v>0.5</v>
      </c>
      <c r="D50" s="107"/>
    </row>
    <row r="51" spans="1:4" x14ac:dyDescent="0.2">
      <c r="A51" s="308"/>
      <c r="B51" s="80" t="s">
        <v>40</v>
      </c>
      <c r="C51" s="89" t="s">
        <v>51</v>
      </c>
      <c r="D51" s="91"/>
    </row>
    <row r="52" spans="1:4" x14ac:dyDescent="0.2">
      <c r="B52" s="83" t="s">
        <v>144</v>
      </c>
      <c r="C52" s="84">
        <v>0</v>
      </c>
      <c r="D52" s="86"/>
    </row>
    <row r="53" spans="1:4" x14ac:dyDescent="0.2">
      <c r="B53" s="318"/>
      <c r="C53" s="318"/>
      <c r="D53" s="318"/>
    </row>
  </sheetData>
  <sheetProtection password="CF18" sheet="1" objects="1"/>
  <mergeCells count="3">
    <mergeCell ref="B41:D41"/>
    <mergeCell ref="B44:D44"/>
    <mergeCell ref="B38:D38"/>
  </mergeCells>
  <phoneticPr fontId="2" type="noConversion"/>
  <conditionalFormatting sqref="B23:J32">
    <cfRule type="expression" dxfId="34" priority="1" stopIfTrue="1">
      <formula>AND(COLUMN()=COLUMN($B23),$B23=OFFSET($B23,-1,0))</formula>
    </cfRule>
    <cfRule type="expression" dxfId="33" priority="2" stopIfTrue="1">
      <formula>$B23&lt;&gt;OFFSET($B23,-1,0)</formula>
    </cfRule>
  </conditionalFormatting>
  <dataValidations count="1">
    <dataValidation type="list" allowBlank="1" showInputMessage="1" showErrorMessage="1" sqref="E23:E32">
      <formula1>typeIndexSm</formula1>
    </dataValidation>
  </dataValidations>
  <hyperlinks>
    <hyperlink ref="D2" location="'Медиа-Заявка'!R166C3" tooltip="Вернуться на медиа-заявку" display="'Медиа-Заявка'!R166C3"/>
  </hyperlinks>
  <pageMargins left="0.75" right="0.75" top="1" bottom="1" header="0.5" footer="0.5"/>
  <pageSetup paperSize="9" scale="50" orientation="landscape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>
    <tabColor rgb="FF92D050"/>
    <pageSetUpPr fitToPage="1"/>
  </sheetPr>
  <dimension ref="A1:J73"/>
  <sheetViews>
    <sheetView showGridLines="0" zoomScale="80" zoomScaleNormal="80" workbookViewId="0"/>
  </sheetViews>
  <sheetFormatPr defaultColWidth="9.140625" defaultRowHeight="12.75" x14ac:dyDescent="0.2"/>
  <cols>
    <col min="1" max="1" width="2.5703125" style="60" customWidth="1"/>
    <col min="2" max="2" width="33" style="60" customWidth="1"/>
    <col min="3" max="3" width="57.140625" style="60" customWidth="1"/>
    <col min="4" max="7" width="15.7109375" style="60" customWidth="1"/>
    <col min="8" max="9" width="15.7109375" style="253" customWidth="1"/>
    <col min="10" max="10" width="45.28515625" style="60" customWidth="1"/>
    <col min="11" max="11" width="10.28515625" style="60" customWidth="1"/>
    <col min="12" max="16384" width="9.140625" style="60"/>
  </cols>
  <sheetData>
    <row r="1" spans="2:10" x14ac:dyDescent="0.2">
      <c r="J1" s="253"/>
    </row>
    <row r="2" spans="2:10" ht="18" x14ac:dyDescent="0.2">
      <c r="B2" s="12" t="s">
        <v>459</v>
      </c>
      <c r="C2" s="12"/>
      <c r="D2" s="574" t="str">
        <f>СПЛИТ!$B$3</f>
        <v>Версия прайс-листа: 23.09.2013</v>
      </c>
    </row>
    <row r="3" spans="2:10" x14ac:dyDescent="0.2">
      <c r="B3" s="3" t="s">
        <v>198</v>
      </c>
      <c r="C3" s="4"/>
    </row>
    <row r="5" spans="2:10" x14ac:dyDescent="0.2">
      <c r="B5" s="6" t="s">
        <v>303</v>
      </c>
      <c r="C5" s="4"/>
      <c r="D5" s="4"/>
      <c r="E5" s="4"/>
    </row>
    <row r="6" spans="2:10" x14ac:dyDescent="0.2">
      <c r="B6" s="328" t="s">
        <v>89</v>
      </c>
      <c r="C6" s="328" t="s">
        <v>286</v>
      </c>
    </row>
    <row r="7" spans="2:10" x14ac:dyDescent="0.2">
      <c r="B7" s="9" t="s">
        <v>79</v>
      </c>
      <c r="C7" s="285">
        <v>0.8</v>
      </c>
      <c r="D7" s="304"/>
    </row>
    <row r="8" spans="2:10" x14ac:dyDescent="0.2">
      <c r="B8" s="10" t="s">
        <v>80</v>
      </c>
      <c r="C8" s="286">
        <v>0.9</v>
      </c>
      <c r="D8" s="304"/>
    </row>
    <row r="9" spans="2:10" x14ac:dyDescent="0.2">
      <c r="B9" s="10" t="s">
        <v>81</v>
      </c>
      <c r="C9" s="286">
        <v>1</v>
      </c>
      <c r="D9" s="304"/>
    </row>
    <row r="10" spans="2:10" x14ac:dyDescent="0.2">
      <c r="B10" s="10" t="s">
        <v>82</v>
      </c>
      <c r="C10" s="286">
        <v>1</v>
      </c>
      <c r="D10" s="304"/>
    </row>
    <row r="11" spans="2:10" x14ac:dyDescent="0.2">
      <c r="B11" s="10" t="s">
        <v>83</v>
      </c>
      <c r="C11" s="286">
        <v>1</v>
      </c>
      <c r="D11" s="304"/>
    </row>
    <row r="12" spans="2:10" x14ac:dyDescent="0.2">
      <c r="B12" s="10" t="s">
        <v>84</v>
      </c>
      <c r="C12" s="286">
        <v>1</v>
      </c>
      <c r="D12" s="304"/>
    </row>
    <row r="13" spans="2:10" x14ac:dyDescent="0.2">
      <c r="B13" s="10" t="s">
        <v>85</v>
      </c>
      <c r="C13" s="286">
        <v>0.9</v>
      </c>
      <c r="D13" s="304"/>
    </row>
    <row r="14" spans="2:10" x14ac:dyDescent="0.2">
      <c r="B14" s="10" t="s">
        <v>74</v>
      </c>
      <c r="C14" s="286">
        <v>0.9</v>
      </c>
      <c r="D14" s="304"/>
    </row>
    <row r="15" spans="2:10" x14ac:dyDescent="0.2">
      <c r="B15" s="10" t="s">
        <v>75</v>
      </c>
      <c r="C15" s="286">
        <v>1.3</v>
      </c>
      <c r="D15" s="304"/>
    </row>
    <row r="16" spans="2:10" x14ac:dyDescent="0.2">
      <c r="B16" s="10" t="s">
        <v>86</v>
      </c>
      <c r="C16" s="286">
        <v>1.3</v>
      </c>
      <c r="D16" s="304"/>
    </row>
    <row r="17" spans="1:10" x14ac:dyDescent="0.2">
      <c r="B17" s="10" t="s">
        <v>87</v>
      </c>
      <c r="C17" s="286">
        <v>1.3</v>
      </c>
      <c r="D17" s="304"/>
    </row>
    <row r="18" spans="1:10" x14ac:dyDescent="0.2">
      <c r="B18" s="11" t="s">
        <v>88</v>
      </c>
      <c r="C18" s="287">
        <v>1.3</v>
      </c>
      <c r="D18" s="304"/>
    </row>
    <row r="19" spans="1:10" s="304" customFormat="1" x14ac:dyDescent="0.2">
      <c r="B19" s="15"/>
      <c r="C19" s="16"/>
      <c r="H19" s="306"/>
      <c r="I19" s="306"/>
    </row>
    <row r="22" spans="1:10" ht="44.25" customHeight="1" x14ac:dyDescent="0.55000000000000004">
      <c r="A22" s="319"/>
      <c r="B22" s="320" t="s">
        <v>278</v>
      </c>
      <c r="C22" s="320" t="s">
        <v>279</v>
      </c>
      <c r="D22" s="320" t="s">
        <v>275</v>
      </c>
      <c r="E22" s="320" t="s">
        <v>280</v>
      </c>
      <c r="F22" s="321" t="s">
        <v>395</v>
      </c>
      <c r="G22" s="321" t="s">
        <v>111</v>
      </c>
      <c r="H22" s="322" t="s">
        <v>282</v>
      </c>
      <c r="I22" s="322" t="s">
        <v>283</v>
      </c>
      <c r="J22" s="321" t="s">
        <v>285</v>
      </c>
    </row>
    <row r="23" spans="1:10" x14ac:dyDescent="0.2">
      <c r="B23" s="298" t="s">
        <v>460</v>
      </c>
      <c r="C23" s="288" t="s">
        <v>461</v>
      </c>
      <c r="D23" s="290">
        <v>550</v>
      </c>
      <c r="E23" s="289" t="s">
        <v>101</v>
      </c>
      <c r="F23" s="290">
        <v>1</v>
      </c>
      <c r="G23" s="291">
        <f>D23/F23</f>
        <v>550</v>
      </c>
      <c r="H23" s="296">
        <v>0.25</v>
      </c>
      <c r="I23" s="296">
        <v>0</v>
      </c>
      <c r="J23" s="299" t="s">
        <v>220</v>
      </c>
    </row>
    <row r="24" spans="1:10" x14ac:dyDescent="0.2">
      <c r="B24" s="298" t="s">
        <v>460</v>
      </c>
      <c r="C24" s="288" t="s">
        <v>462</v>
      </c>
      <c r="D24" s="290">
        <v>350</v>
      </c>
      <c r="E24" s="289" t="s">
        <v>101</v>
      </c>
      <c r="F24" s="290">
        <v>1</v>
      </c>
      <c r="G24" s="291">
        <f>D24/F24</f>
        <v>350</v>
      </c>
      <c r="H24" s="296">
        <v>0.25</v>
      </c>
      <c r="I24" s="296">
        <v>0</v>
      </c>
      <c r="J24" s="299" t="s">
        <v>220</v>
      </c>
    </row>
    <row r="25" spans="1:10" x14ac:dyDescent="0.2">
      <c r="B25" s="298" t="s">
        <v>460</v>
      </c>
      <c r="C25" s="288" t="s">
        <v>221</v>
      </c>
      <c r="D25" s="290">
        <v>600000</v>
      </c>
      <c r="E25" s="289" t="s">
        <v>96</v>
      </c>
      <c r="F25" s="290">
        <v>1500</v>
      </c>
      <c r="G25" s="291">
        <f>D25/F25</f>
        <v>400</v>
      </c>
      <c r="H25" s="296" t="s">
        <v>103</v>
      </c>
      <c r="I25" s="296" t="s">
        <v>103</v>
      </c>
      <c r="J25" s="299" t="s">
        <v>486</v>
      </c>
    </row>
    <row r="26" spans="1:10" ht="55.5" customHeight="1" x14ac:dyDescent="0.2">
      <c r="B26" s="298" t="s">
        <v>460</v>
      </c>
      <c r="C26" s="288" t="s">
        <v>225</v>
      </c>
      <c r="D26" s="290">
        <v>375000</v>
      </c>
      <c r="E26" s="289" t="s">
        <v>96</v>
      </c>
      <c r="F26" s="290">
        <v>1500</v>
      </c>
      <c r="G26" s="291">
        <f>D26/F26</f>
        <v>250</v>
      </c>
      <c r="H26" s="296" t="s">
        <v>103</v>
      </c>
      <c r="I26" s="296" t="s">
        <v>103</v>
      </c>
      <c r="J26" s="299" t="s">
        <v>544</v>
      </c>
    </row>
    <row r="27" spans="1:10" x14ac:dyDescent="0.2">
      <c r="B27" s="298" t="s">
        <v>460</v>
      </c>
      <c r="C27" s="288" t="s">
        <v>222</v>
      </c>
      <c r="D27" s="290">
        <v>900000</v>
      </c>
      <c r="E27" s="289" t="s">
        <v>96</v>
      </c>
      <c r="F27" s="290">
        <v>3000</v>
      </c>
      <c r="G27" s="291">
        <f t="shared" ref="G27:G40" si="0">D27/F27</f>
        <v>300</v>
      </c>
      <c r="H27" s="296" t="s">
        <v>103</v>
      </c>
      <c r="I27" s="296" t="s">
        <v>103</v>
      </c>
      <c r="J27" s="299" t="s">
        <v>486</v>
      </c>
    </row>
    <row r="28" spans="1:10" ht="55.5" customHeight="1" x14ac:dyDescent="0.2">
      <c r="B28" s="298" t="s">
        <v>460</v>
      </c>
      <c r="C28" s="288" t="s">
        <v>226</v>
      </c>
      <c r="D28" s="290">
        <v>600000</v>
      </c>
      <c r="E28" s="289" t="s">
        <v>96</v>
      </c>
      <c r="F28" s="290">
        <v>3000</v>
      </c>
      <c r="G28" s="291">
        <f>D28/F28</f>
        <v>200</v>
      </c>
      <c r="H28" s="296" t="s">
        <v>103</v>
      </c>
      <c r="I28" s="296" t="s">
        <v>103</v>
      </c>
      <c r="J28" s="299" t="s">
        <v>544</v>
      </c>
    </row>
    <row r="29" spans="1:10" x14ac:dyDescent="0.2">
      <c r="B29" s="298" t="s">
        <v>460</v>
      </c>
      <c r="C29" s="288" t="s">
        <v>656</v>
      </c>
      <c r="D29" s="290">
        <v>1250000</v>
      </c>
      <c r="E29" s="289" t="s">
        <v>96</v>
      </c>
      <c r="F29" s="290">
        <v>5000</v>
      </c>
      <c r="G29" s="291">
        <f>D29/F29</f>
        <v>250</v>
      </c>
      <c r="H29" s="296" t="s">
        <v>103</v>
      </c>
      <c r="I29" s="296" t="s">
        <v>103</v>
      </c>
      <c r="J29" s="299" t="s">
        <v>486</v>
      </c>
    </row>
    <row r="30" spans="1:10" ht="55.5" customHeight="1" x14ac:dyDescent="0.2">
      <c r="B30" s="298" t="s">
        <v>460</v>
      </c>
      <c r="C30" s="288" t="s">
        <v>655</v>
      </c>
      <c r="D30" s="290">
        <v>750000</v>
      </c>
      <c r="E30" s="289" t="s">
        <v>96</v>
      </c>
      <c r="F30" s="290">
        <v>5000</v>
      </c>
      <c r="G30" s="291">
        <f>D30/F30</f>
        <v>150</v>
      </c>
      <c r="H30" s="296" t="s">
        <v>103</v>
      </c>
      <c r="I30" s="296" t="s">
        <v>103</v>
      </c>
      <c r="J30" s="299" t="s">
        <v>544</v>
      </c>
    </row>
    <row r="31" spans="1:10" x14ac:dyDescent="0.2">
      <c r="B31" s="298" t="s">
        <v>460</v>
      </c>
      <c r="C31" s="288" t="s">
        <v>223</v>
      </c>
      <c r="D31" s="290">
        <v>400000</v>
      </c>
      <c r="E31" s="289" t="s">
        <v>96</v>
      </c>
      <c r="F31" s="290">
        <v>800</v>
      </c>
      <c r="G31" s="291">
        <f t="shared" si="0"/>
        <v>500</v>
      </c>
      <c r="H31" s="296" t="s">
        <v>52</v>
      </c>
      <c r="I31" s="296" t="s">
        <v>103</v>
      </c>
      <c r="J31" s="299" t="s">
        <v>463</v>
      </c>
    </row>
    <row r="32" spans="1:10" x14ac:dyDescent="0.2">
      <c r="B32" s="298" t="s">
        <v>460</v>
      </c>
      <c r="C32" s="288" t="s">
        <v>227</v>
      </c>
      <c r="D32" s="290">
        <v>240000</v>
      </c>
      <c r="E32" s="289" t="s">
        <v>96</v>
      </c>
      <c r="F32" s="290">
        <v>800</v>
      </c>
      <c r="G32" s="291">
        <f>D32/F32</f>
        <v>300</v>
      </c>
      <c r="H32" s="296" t="s">
        <v>52</v>
      </c>
      <c r="I32" s="296" t="s">
        <v>103</v>
      </c>
      <c r="J32" s="299" t="s">
        <v>463</v>
      </c>
    </row>
    <row r="33" spans="2:10" x14ac:dyDescent="0.2">
      <c r="B33" s="298" t="s">
        <v>460</v>
      </c>
      <c r="C33" s="288" t="s">
        <v>224</v>
      </c>
      <c r="D33" s="290">
        <v>150000</v>
      </c>
      <c r="E33" s="289" t="s">
        <v>96</v>
      </c>
      <c r="F33" s="290">
        <v>300</v>
      </c>
      <c r="G33" s="291">
        <f t="shared" si="0"/>
        <v>500</v>
      </c>
      <c r="H33" s="296" t="s">
        <v>52</v>
      </c>
      <c r="I33" s="296" t="s">
        <v>103</v>
      </c>
      <c r="J33" s="299" t="s">
        <v>463</v>
      </c>
    </row>
    <row r="34" spans="2:10" x14ac:dyDescent="0.2">
      <c r="B34" s="298" t="s">
        <v>460</v>
      </c>
      <c r="C34" s="288" t="s">
        <v>228</v>
      </c>
      <c r="D34" s="290">
        <v>90000</v>
      </c>
      <c r="E34" s="289" t="s">
        <v>96</v>
      </c>
      <c r="F34" s="290">
        <v>300</v>
      </c>
      <c r="G34" s="291">
        <f t="shared" si="0"/>
        <v>300</v>
      </c>
      <c r="H34" s="296" t="s">
        <v>52</v>
      </c>
      <c r="I34" s="296" t="s">
        <v>103</v>
      </c>
      <c r="J34" s="299" t="s">
        <v>463</v>
      </c>
    </row>
    <row r="35" spans="2:10" x14ac:dyDescent="0.2">
      <c r="B35" s="298" t="s">
        <v>657</v>
      </c>
      <c r="C35" s="288" t="s">
        <v>229</v>
      </c>
      <c r="D35" s="290">
        <v>300000</v>
      </c>
      <c r="E35" s="289" t="s">
        <v>96</v>
      </c>
      <c r="F35" s="290">
        <v>600</v>
      </c>
      <c r="G35" s="291">
        <f t="shared" si="0"/>
        <v>500</v>
      </c>
      <c r="H35" s="296" t="s">
        <v>103</v>
      </c>
      <c r="I35" s="296" t="s">
        <v>103</v>
      </c>
      <c r="J35" s="299" t="s">
        <v>230</v>
      </c>
    </row>
    <row r="36" spans="2:10" x14ac:dyDescent="0.2">
      <c r="B36" s="298" t="s">
        <v>657</v>
      </c>
      <c r="C36" s="288" t="s">
        <v>235</v>
      </c>
      <c r="D36" s="290">
        <v>240000</v>
      </c>
      <c r="E36" s="289" t="s">
        <v>96</v>
      </c>
      <c r="F36" s="290">
        <v>600</v>
      </c>
      <c r="G36" s="291">
        <f t="shared" si="0"/>
        <v>400</v>
      </c>
      <c r="H36" s="296" t="s">
        <v>103</v>
      </c>
      <c r="I36" s="296" t="s">
        <v>103</v>
      </c>
      <c r="J36" s="299" t="s">
        <v>230</v>
      </c>
    </row>
    <row r="37" spans="2:10" ht="38.25" x14ac:dyDescent="0.2">
      <c r="B37" s="298" t="s">
        <v>658</v>
      </c>
      <c r="C37" s="288" t="s">
        <v>231</v>
      </c>
      <c r="D37" s="290">
        <v>180000</v>
      </c>
      <c r="E37" s="289" t="s">
        <v>96</v>
      </c>
      <c r="F37" s="290">
        <v>600</v>
      </c>
      <c r="G37" s="291">
        <f t="shared" si="0"/>
        <v>300</v>
      </c>
      <c r="H37" s="296" t="s">
        <v>103</v>
      </c>
      <c r="I37" s="296" t="s">
        <v>103</v>
      </c>
      <c r="J37" s="299" t="s">
        <v>230</v>
      </c>
    </row>
    <row r="38" spans="2:10" ht="38.25" x14ac:dyDescent="0.2">
      <c r="B38" s="298" t="s">
        <v>658</v>
      </c>
      <c r="C38" s="288" t="s">
        <v>236</v>
      </c>
      <c r="D38" s="290">
        <v>120000</v>
      </c>
      <c r="E38" s="289" t="s">
        <v>96</v>
      </c>
      <c r="F38" s="290">
        <v>600</v>
      </c>
      <c r="G38" s="291">
        <f t="shared" si="0"/>
        <v>200</v>
      </c>
      <c r="H38" s="296" t="s">
        <v>103</v>
      </c>
      <c r="I38" s="296" t="s">
        <v>103</v>
      </c>
      <c r="J38" s="299" t="s">
        <v>230</v>
      </c>
    </row>
    <row r="39" spans="2:10" x14ac:dyDescent="0.2">
      <c r="B39" s="298" t="s">
        <v>232</v>
      </c>
      <c r="C39" s="288" t="s">
        <v>233</v>
      </c>
      <c r="D39" s="290">
        <v>200000</v>
      </c>
      <c r="E39" s="289" t="s">
        <v>96</v>
      </c>
      <c r="F39" s="290">
        <v>500</v>
      </c>
      <c r="G39" s="291">
        <f t="shared" si="0"/>
        <v>400</v>
      </c>
      <c r="H39" s="296" t="s">
        <v>103</v>
      </c>
      <c r="I39" s="296" t="s">
        <v>103</v>
      </c>
      <c r="J39" s="299" t="s">
        <v>234</v>
      </c>
    </row>
    <row r="40" spans="2:10" x14ac:dyDescent="0.2">
      <c r="B40" s="298" t="s">
        <v>232</v>
      </c>
      <c r="C40" s="288" t="s">
        <v>467</v>
      </c>
      <c r="D40" s="290">
        <v>125000</v>
      </c>
      <c r="E40" s="289" t="s">
        <v>96</v>
      </c>
      <c r="F40" s="290">
        <v>500</v>
      </c>
      <c r="G40" s="291">
        <f t="shared" si="0"/>
        <v>250</v>
      </c>
      <c r="H40" s="296" t="s">
        <v>103</v>
      </c>
      <c r="I40" s="296" t="s">
        <v>103</v>
      </c>
      <c r="J40" s="299" t="s">
        <v>234</v>
      </c>
    </row>
    <row r="41" spans="2:10" x14ac:dyDescent="0.2">
      <c r="B41" s="298" t="s">
        <v>232</v>
      </c>
      <c r="C41" s="288" t="s">
        <v>897</v>
      </c>
      <c r="D41" s="290">
        <v>250000</v>
      </c>
      <c r="E41" s="289" t="s">
        <v>102</v>
      </c>
      <c r="F41" s="290">
        <v>500</v>
      </c>
      <c r="G41" s="291">
        <f t="shared" ref="G41" si="1">D41/F41</f>
        <v>500</v>
      </c>
      <c r="H41" s="296" t="s">
        <v>103</v>
      </c>
      <c r="I41" s="296" t="s">
        <v>103</v>
      </c>
      <c r="J41" s="299" t="s">
        <v>234</v>
      </c>
    </row>
    <row r="42" spans="2:10" x14ac:dyDescent="0.2">
      <c r="B42" s="298" t="s">
        <v>237</v>
      </c>
      <c r="C42" s="288" t="s">
        <v>239</v>
      </c>
      <c r="D42" s="290">
        <v>550</v>
      </c>
      <c r="E42" s="289" t="s">
        <v>101</v>
      </c>
      <c r="F42" s="290">
        <v>1</v>
      </c>
      <c r="G42" s="291">
        <f t="shared" ref="G42:G50" si="2">D42/F42</f>
        <v>550</v>
      </c>
      <c r="H42" s="296">
        <v>0.25</v>
      </c>
      <c r="I42" s="296">
        <v>0</v>
      </c>
      <c r="J42" s="299" t="s">
        <v>238</v>
      </c>
    </row>
    <row r="43" spans="2:10" x14ac:dyDescent="0.2">
      <c r="B43" s="298" t="s">
        <v>237</v>
      </c>
      <c r="C43" s="288" t="s">
        <v>543</v>
      </c>
      <c r="D43" s="290">
        <v>350</v>
      </c>
      <c r="E43" s="289" t="s">
        <v>101</v>
      </c>
      <c r="F43" s="290">
        <v>1</v>
      </c>
      <c r="G43" s="291">
        <f t="shared" si="2"/>
        <v>350</v>
      </c>
      <c r="H43" s="296">
        <v>0.25</v>
      </c>
      <c r="I43" s="296">
        <v>0</v>
      </c>
      <c r="J43" s="299" t="s">
        <v>238</v>
      </c>
    </row>
    <row r="44" spans="2:10" x14ac:dyDescent="0.2">
      <c r="B44" s="298" t="s">
        <v>237</v>
      </c>
      <c r="C44" s="288" t="s">
        <v>663</v>
      </c>
      <c r="D44" s="290">
        <v>700</v>
      </c>
      <c r="E44" s="289" t="s">
        <v>101</v>
      </c>
      <c r="F44" s="290">
        <v>1</v>
      </c>
      <c r="G44" s="291">
        <f t="shared" ref="G44" si="3">D44/F44</f>
        <v>700</v>
      </c>
      <c r="H44" s="296">
        <v>0.25</v>
      </c>
      <c r="I44" s="296" t="s">
        <v>52</v>
      </c>
      <c r="J44" s="299" t="s">
        <v>527</v>
      </c>
    </row>
    <row r="45" spans="2:10" x14ac:dyDescent="0.2">
      <c r="B45" s="298" t="s">
        <v>237</v>
      </c>
      <c r="C45" s="288" t="s">
        <v>240</v>
      </c>
      <c r="D45" s="290">
        <v>400000</v>
      </c>
      <c r="E45" s="289" t="s">
        <v>96</v>
      </c>
      <c r="F45" s="290">
        <v>1000</v>
      </c>
      <c r="G45" s="291">
        <f t="shared" si="2"/>
        <v>400</v>
      </c>
      <c r="H45" s="296" t="s">
        <v>103</v>
      </c>
      <c r="I45" s="296" t="s">
        <v>103</v>
      </c>
      <c r="J45" s="299" t="s">
        <v>238</v>
      </c>
    </row>
    <row r="46" spans="2:10" x14ac:dyDescent="0.2">
      <c r="B46" s="298" t="s">
        <v>237</v>
      </c>
      <c r="C46" s="288" t="s">
        <v>241</v>
      </c>
      <c r="D46" s="290">
        <v>250000</v>
      </c>
      <c r="E46" s="289" t="s">
        <v>96</v>
      </c>
      <c r="F46" s="290">
        <v>1000</v>
      </c>
      <c r="G46" s="291">
        <f t="shared" si="2"/>
        <v>250</v>
      </c>
      <c r="H46" s="296" t="s">
        <v>103</v>
      </c>
      <c r="I46" s="296" t="s">
        <v>103</v>
      </c>
      <c r="J46" s="299" t="s">
        <v>238</v>
      </c>
    </row>
    <row r="47" spans="2:10" ht="25.5" x14ac:dyDescent="0.2">
      <c r="B47" s="298" t="s">
        <v>465</v>
      </c>
      <c r="C47" s="297" t="s">
        <v>662</v>
      </c>
      <c r="D47" s="290">
        <v>400000</v>
      </c>
      <c r="E47" s="289" t="s">
        <v>96</v>
      </c>
      <c r="F47" s="290">
        <v>500</v>
      </c>
      <c r="G47" s="291">
        <f t="shared" si="2"/>
        <v>800</v>
      </c>
      <c r="H47" s="296" t="s">
        <v>103</v>
      </c>
      <c r="I47" s="296" t="s">
        <v>103</v>
      </c>
      <c r="J47" s="299" t="s">
        <v>488</v>
      </c>
    </row>
    <row r="48" spans="2:10" ht="25.5" x14ac:dyDescent="0.2">
      <c r="B48" s="298" t="s">
        <v>465</v>
      </c>
      <c r="C48" s="297" t="s">
        <v>661</v>
      </c>
      <c r="D48" s="290">
        <v>700000</v>
      </c>
      <c r="E48" s="289" t="s">
        <v>96</v>
      </c>
      <c r="F48" s="290">
        <v>1000</v>
      </c>
      <c r="G48" s="291">
        <f t="shared" ref="G48" si="4">D48/F48</f>
        <v>700</v>
      </c>
      <c r="H48" s="296" t="s">
        <v>103</v>
      </c>
      <c r="I48" s="296" t="s">
        <v>103</v>
      </c>
      <c r="J48" s="299" t="s">
        <v>488</v>
      </c>
    </row>
    <row r="49" spans="1:10" x14ac:dyDescent="0.2">
      <c r="B49" s="298" t="s">
        <v>460</v>
      </c>
      <c r="C49" s="297" t="s">
        <v>659</v>
      </c>
      <c r="D49" s="290">
        <v>700</v>
      </c>
      <c r="E49" s="289" t="s">
        <v>101</v>
      </c>
      <c r="F49" s="290">
        <v>1</v>
      </c>
      <c r="G49" s="291">
        <f t="shared" ref="G49" si="5">D49/F49</f>
        <v>700</v>
      </c>
      <c r="H49" s="296">
        <v>0.25</v>
      </c>
      <c r="I49" s="296" t="s">
        <v>52</v>
      </c>
      <c r="J49" s="299" t="s">
        <v>527</v>
      </c>
    </row>
    <row r="50" spans="1:10" ht="25.5" x14ac:dyDescent="0.2">
      <c r="B50" s="298" t="s">
        <v>660</v>
      </c>
      <c r="C50" s="288" t="s">
        <v>16</v>
      </c>
      <c r="D50" s="290">
        <v>2000</v>
      </c>
      <c r="E50" s="289" t="s">
        <v>101</v>
      </c>
      <c r="F50" s="290">
        <v>1</v>
      </c>
      <c r="G50" s="291">
        <f t="shared" si="2"/>
        <v>2000</v>
      </c>
      <c r="H50" s="296">
        <v>0.25</v>
      </c>
      <c r="I50" s="296" t="s">
        <v>52</v>
      </c>
      <c r="J50" s="299" t="s">
        <v>487</v>
      </c>
    </row>
    <row r="51" spans="1:10" x14ac:dyDescent="0.2">
      <c r="B51" s="323" t="s">
        <v>288</v>
      </c>
      <c r="C51" s="324"/>
      <c r="D51" s="325"/>
      <c r="E51" s="325"/>
      <c r="F51" s="325"/>
      <c r="G51" s="325"/>
      <c r="H51" s="326"/>
      <c r="I51" s="326"/>
      <c r="J51" s="327"/>
    </row>
    <row r="55" spans="1:10" x14ac:dyDescent="0.2">
      <c r="B55" s="6" t="s">
        <v>302</v>
      </c>
    </row>
    <row r="56" spans="1:10" x14ac:dyDescent="0.2">
      <c r="B56" s="913" t="s">
        <v>306</v>
      </c>
      <c r="C56" s="914"/>
      <c r="D56" s="915"/>
    </row>
    <row r="57" spans="1:10" x14ac:dyDescent="0.2">
      <c r="B57" s="111" t="s">
        <v>185</v>
      </c>
      <c r="C57" s="314">
        <v>0.2</v>
      </c>
      <c r="D57" s="315"/>
    </row>
    <row r="58" spans="1:10" x14ac:dyDescent="0.2">
      <c r="B58" s="112" t="s">
        <v>183</v>
      </c>
      <c r="C58" s="316">
        <v>0.25</v>
      </c>
      <c r="D58" s="317"/>
    </row>
    <row r="59" spans="1:10" x14ac:dyDescent="0.2">
      <c r="B59" s="110" t="s">
        <v>4</v>
      </c>
      <c r="C59" s="312">
        <v>0.2</v>
      </c>
      <c r="D59" s="313"/>
    </row>
    <row r="60" spans="1:10" ht="15" x14ac:dyDescent="0.2">
      <c r="A60" s="307"/>
      <c r="B60" s="913" t="s">
        <v>304</v>
      </c>
      <c r="C60" s="914"/>
      <c r="D60" s="915"/>
    </row>
    <row r="61" spans="1:10" x14ac:dyDescent="0.2">
      <c r="A61" s="308"/>
      <c r="B61" s="77" t="s">
        <v>3</v>
      </c>
      <c r="C61" s="78">
        <v>0.3</v>
      </c>
      <c r="D61" s="79"/>
    </row>
    <row r="62" spans="1:10" ht="57.75" customHeight="1" x14ac:dyDescent="0.2">
      <c r="A62" s="308"/>
      <c r="B62" s="83" t="s">
        <v>562</v>
      </c>
      <c r="C62" s="84">
        <v>0.5</v>
      </c>
      <c r="D62" s="86"/>
    </row>
    <row r="63" spans="1:10" ht="15" x14ac:dyDescent="0.2">
      <c r="A63" s="307"/>
      <c r="B63" s="913" t="s">
        <v>301</v>
      </c>
      <c r="C63" s="914"/>
      <c r="D63" s="915"/>
    </row>
    <row r="64" spans="1:10" x14ac:dyDescent="0.2">
      <c r="B64" s="80" t="s">
        <v>137</v>
      </c>
      <c r="C64" s="81">
        <v>0</v>
      </c>
      <c r="D64" s="80"/>
    </row>
    <row r="65" spans="1:4" x14ac:dyDescent="0.2">
      <c r="B65" s="83" t="s">
        <v>138</v>
      </c>
      <c r="C65" s="84">
        <v>0</v>
      </c>
      <c r="D65" s="86"/>
    </row>
    <row r="66" spans="1:4" ht="15" x14ac:dyDescent="0.2">
      <c r="A66" s="307"/>
      <c r="B66" s="913" t="s">
        <v>300</v>
      </c>
      <c r="C66" s="914"/>
      <c r="D66" s="915"/>
    </row>
    <row r="67" spans="1:4" x14ac:dyDescent="0.2">
      <c r="A67" s="308"/>
      <c r="B67" s="80" t="s">
        <v>42</v>
      </c>
      <c r="C67" s="81">
        <v>0</v>
      </c>
      <c r="D67" s="82"/>
    </row>
    <row r="68" spans="1:4" x14ac:dyDescent="0.2">
      <c r="A68" s="308"/>
      <c r="B68" s="80" t="s">
        <v>37</v>
      </c>
      <c r="C68" s="81">
        <v>0</v>
      </c>
      <c r="D68" s="82"/>
    </row>
    <row r="69" spans="1:4" x14ac:dyDescent="0.2">
      <c r="A69" s="308"/>
      <c r="B69" s="88" t="s">
        <v>48</v>
      </c>
      <c r="C69" s="89">
        <v>0</v>
      </c>
      <c r="D69" s="664"/>
    </row>
    <row r="70" spans="1:4" x14ac:dyDescent="0.2">
      <c r="A70" s="308"/>
      <c r="B70" s="88" t="s">
        <v>140</v>
      </c>
      <c r="C70" s="89">
        <v>0.5</v>
      </c>
      <c r="D70" s="107"/>
    </row>
    <row r="71" spans="1:4" x14ac:dyDescent="0.2">
      <c r="A71" s="308"/>
      <c r="B71" s="98" t="s">
        <v>141</v>
      </c>
      <c r="C71" s="99">
        <v>0.5</v>
      </c>
      <c r="D71" s="100"/>
    </row>
    <row r="72" spans="1:4" x14ac:dyDescent="0.2">
      <c r="B72" s="83" t="s">
        <v>38</v>
      </c>
      <c r="C72" s="84">
        <v>0.5</v>
      </c>
      <c r="D72" s="83"/>
    </row>
    <row r="73" spans="1:4" x14ac:dyDescent="0.2">
      <c r="B73" s="318"/>
      <c r="C73" s="318"/>
      <c r="D73" s="318"/>
    </row>
  </sheetData>
  <sheetProtection password="CF18" sheet="1" objects="1"/>
  <mergeCells count="4">
    <mergeCell ref="B63:D63"/>
    <mergeCell ref="B66:D66"/>
    <mergeCell ref="B60:D60"/>
    <mergeCell ref="B56:D56"/>
  </mergeCells>
  <phoneticPr fontId="2" type="noConversion"/>
  <conditionalFormatting sqref="B23:J50">
    <cfRule type="expression" dxfId="32" priority="1" stopIfTrue="1">
      <formula>AND(COLUMN()=COLUMN($B23),$B23=OFFSET($B23,-1,0))</formula>
    </cfRule>
    <cfRule type="expression" dxfId="31" priority="2" stopIfTrue="1">
      <formula>$B23&lt;&gt;OFFSET($B23,-1,0)</formula>
    </cfRule>
  </conditionalFormatting>
  <dataValidations count="1">
    <dataValidation type="list" allowBlank="1" showInputMessage="1" showErrorMessage="1" sqref="E23:E50">
      <formula1>typeIndexSm</formula1>
    </dataValidation>
  </dataValidations>
  <hyperlinks>
    <hyperlink ref="D2" location="'Медиа-Заявка'!R177C3" tooltip="Вернуться на медиа-заявку" display="'Медиа-Заявка'!R177C3"/>
  </hyperlinks>
  <pageMargins left="0.75" right="0.75" top="1" bottom="1" header="0.5" footer="0.5"/>
  <pageSetup paperSize="9" scale="36" orientation="landscape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9">
    <tabColor rgb="FF92D050"/>
    <pageSetUpPr fitToPage="1"/>
  </sheetPr>
  <dimension ref="A1:J48"/>
  <sheetViews>
    <sheetView showGridLines="0" zoomScale="80" zoomScaleNormal="80" workbookViewId="0"/>
  </sheetViews>
  <sheetFormatPr defaultColWidth="9.140625" defaultRowHeight="12.75" x14ac:dyDescent="0.2"/>
  <cols>
    <col min="1" max="1" width="2.5703125" style="60" customWidth="1"/>
    <col min="2" max="2" width="33" style="60" customWidth="1"/>
    <col min="3" max="3" width="57.140625" style="60" customWidth="1"/>
    <col min="4" max="7" width="15.7109375" style="60" customWidth="1"/>
    <col min="8" max="9" width="15.7109375" style="253" customWidth="1"/>
    <col min="10" max="10" width="43.42578125" style="60" customWidth="1"/>
    <col min="11" max="16384" width="9.140625" style="60"/>
  </cols>
  <sheetData>
    <row r="1" spans="2:10" x14ac:dyDescent="0.2">
      <c r="J1" s="253"/>
    </row>
    <row r="2" spans="2:10" ht="18" x14ac:dyDescent="0.2">
      <c r="B2" s="76" t="s">
        <v>20</v>
      </c>
      <c r="C2" s="12"/>
      <c r="D2" s="574" t="str">
        <f>СПЛИТ!$B$3</f>
        <v>Версия прайс-листа: 23.09.2013</v>
      </c>
    </row>
    <row r="3" spans="2:10" x14ac:dyDescent="0.2">
      <c r="B3" s="3" t="s">
        <v>198</v>
      </c>
      <c r="C3" s="4"/>
    </row>
    <row r="5" spans="2:10" x14ac:dyDescent="0.2">
      <c r="B5" s="6" t="s">
        <v>303</v>
      </c>
      <c r="C5" s="4"/>
      <c r="D5" s="4"/>
      <c r="E5" s="4"/>
    </row>
    <row r="6" spans="2:10" x14ac:dyDescent="0.2">
      <c r="B6" s="328" t="s">
        <v>89</v>
      </c>
      <c r="C6" s="328" t="s">
        <v>286</v>
      </c>
    </row>
    <row r="7" spans="2:10" x14ac:dyDescent="0.2">
      <c r="B7" s="9" t="s">
        <v>79</v>
      </c>
      <c r="C7" s="285">
        <v>0.8</v>
      </c>
      <c r="D7" s="304"/>
    </row>
    <row r="8" spans="2:10" x14ac:dyDescent="0.2">
      <c r="B8" s="10" t="s">
        <v>80</v>
      </c>
      <c r="C8" s="286">
        <v>0.9</v>
      </c>
      <c r="D8" s="304"/>
    </row>
    <row r="9" spans="2:10" x14ac:dyDescent="0.2">
      <c r="B9" s="10" t="s">
        <v>81</v>
      </c>
      <c r="C9" s="286">
        <v>1</v>
      </c>
      <c r="D9" s="304"/>
    </row>
    <row r="10" spans="2:10" x14ac:dyDescent="0.2">
      <c r="B10" s="10" t="s">
        <v>82</v>
      </c>
      <c r="C10" s="286">
        <v>1</v>
      </c>
      <c r="D10" s="304"/>
    </row>
    <row r="11" spans="2:10" x14ac:dyDescent="0.2">
      <c r="B11" s="10" t="s">
        <v>83</v>
      </c>
      <c r="C11" s="286">
        <v>1</v>
      </c>
      <c r="D11" s="304"/>
    </row>
    <row r="12" spans="2:10" x14ac:dyDescent="0.2">
      <c r="B12" s="10" t="s">
        <v>84</v>
      </c>
      <c r="C12" s="286">
        <v>1</v>
      </c>
      <c r="D12" s="304"/>
    </row>
    <row r="13" spans="2:10" x14ac:dyDescent="0.2">
      <c r="B13" s="10" t="s">
        <v>85</v>
      </c>
      <c r="C13" s="286">
        <v>0.9</v>
      </c>
      <c r="D13" s="304"/>
    </row>
    <row r="14" spans="2:10" x14ac:dyDescent="0.2">
      <c r="B14" s="10" t="s">
        <v>74</v>
      </c>
      <c r="C14" s="286">
        <v>0.9</v>
      </c>
      <c r="D14" s="304"/>
    </row>
    <row r="15" spans="2:10" x14ac:dyDescent="0.2">
      <c r="B15" s="10" t="s">
        <v>75</v>
      </c>
      <c r="C15" s="286">
        <v>1.3</v>
      </c>
      <c r="D15" s="304"/>
    </row>
    <row r="16" spans="2:10" x14ac:dyDescent="0.2">
      <c r="B16" s="10" t="s">
        <v>86</v>
      </c>
      <c r="C16" s="286">
        <v>1.3</v>
      </c>
      <c r="D16" s="304"/>
    </row>
    <row r="17" spans="1:10" x14ac:dyDescent="0.2">
      <c r="B17" s="10" t="s">
        <v>87</v>
      </c>
      <c r="C17" s="286">
        <v>1.3</v>
      </c>
      <c r="D17" s="304"/>
    </row>
    <row r="18" spans="1:10" x14ac:dyDescent="0.2">
      <c r="B18" s="11" t="s">
        <v>88</v>
      </c>
      <c r="C18" s="287">
        <v>1.3</v>
      </c>
      <c r="D18" s="304"/>
    </row>
    <row r="19" spans="1:10" s="304" customFormat="1" x14ac:dyDescent="0.2">
      <c r="B19" s="15"/>
      <c r="C19" s="16"/>
      <c r="H19" s="306"/>
      <c r="I19" s="306"/>
    </row>
    <row r="22" spans="1:10" ht="44.25" customHeight="1" x14ac:dyDescent="0.55000000000000004">
      <c r="A22" s="319"/>
      <c r="B22" s="320" t="s">
        <v>278</v>
      </c>
      <c r="C22" s="320" t="s">
        <v>279</v>
      </c>
      <c r="D22" s="320" t="s">
        <v>275</v>
      </c>
      <c r="E22" s="320" t="s">
        <v>280</v>
      </c>
      <c r="F22" s="321" t="s">
        <v>395</v>
      </c>
      <c r="G22" s="321" t="s">
        <v>111</v>
      </c>
      <c r="H22" s="322" t="s">
        <v>282</v>
      </c>
      <c r="I22" s="322" t="s">
        <v>283</v>
      </c>
      <c r="J22" s="321" t="s">
        <v>285</v>
      </c>
    </row>
    <row r="23" spans="1:10" ht="25.5" x14ac:dyDescent="0.2">
      <c r="B23" s="298" t="s">
        <v>168</v>
      </c>
      <c r="C23" s="288" t="s">
        <v>388</v>
      </c>
      <c r="D23" s="290">
        <v>225000</v>
      </c>
      <c r="E23" s="289" t="s">
        <v>96</v>
      </c>
      <c r="F23" s="290">
        <v>500</v>
      </c>
      <c r="G23" s="291">
        <f>D23/F23</f>
        <v>450</v>
      </c>
      <c r="H23" s="296" t="s">
        <v>103</v>
      </c>
      <c r="I23" s="296" t="s">
        <v>103</v>
      </c>
      <c r="J23" s="299" t="s">
        <v>103</v>
      </c>
    </row>
    <row r="24" spans="1:10" ht="25.5" x14ac:dyDescent="0.2">
      <c r="B24" s="298" t="s">
        <v>168</v>
      </c>
      <c r="C24" s="288" t="s">
        <v>381</v>
      </c>
      <c r="D24" s="290">
        <v>150000</v>
      </c>
      <c r="E24" s="289" t="s">
        <v>96</v>
      </c>
      <c r="F24" s="290">
        <v>250</v>
      </c>
      <c r="G24" s="291">
        <f t="shared" ref="G24:G25" si="0">D24/F24</f>
        <v>600</v>
      </c>
      <c r="H24" s="296" t="s">
        <v>136</v>
      </c>
      <c r="I24" s="296" t="s">
        <v>103</v>
      </c>
      <c r="J24" s="299" t="s">
        <v>165</v>
      </c>
    </row>
    <row r="25" spans="1:10" ht="25.5" x14ac:dyDescent="0.2">
      <c r="B25" s="298" t="s">
        <v>168</v>
      </c>
      <c r="C25" s="288" t="s">
        <v>382</v>
      </c>
      <c r="D25" s="290">
        <v>70000</v>
      </c>
      <c r="E25" s="289" t="s">
        <v>96</v>
      </c>
      <c r="F25" s="290">
        <v>100</v>
      </c>
      <c r="G25" s="291">
        <f t="shared" si="0"/>
        <v>700</v>
      </c>
      <c r="H25" s="296" t="s">
        <v>136</v>
      </c>
      <c r="I25" s="296" t="s">
        <v>103</v>
      </c>
      <c r="J25" s="299" t="s">
        <v>166</v>
      </c>
    </row>
    <row r="26" spans="1:10" x14ac:dyDescent="0.2">
      <c r="B26" s="323" t="s">
        <v>288</v>
      </c>
      <c r="C26" s="324"/>
      <c r="D26" s="325"/>
      <c r="E26" s="325"/>
      <c r="F26" s="325"/>
      <c r="G26" s="325"/>
      <c r="H26" s="326"/>
      <c r="I26" s="326"/>
      <c r="J26" s="327"/>
    </row>
    <row r="29" spans="1:10" x14ac:dyDescent="0.2">
      <c r="B29" s="6" t="s">
        <v>302</v>
      </c>
    </row>
    <row r="30" spans="1:10" ht="15" x14ac:dyDescent="0.2">
      <c r="A30" s="307"/>
      <c r="B30" s="913" t="s">
        <v>305</v>
      </c>
      <c r="C30" s="914"/>
      <c r="D30" s="915"/>
    </row>
    <row r="31" spans="1:10" x14ac:dyDescent="0.2">
      <c r="A31" s="308"/>
      <c r="B31" s="61" t="s">
        <v>4</v>
      </c>
      <c r="C31" s="62">
        <v>0.15</v>
      </c>
      <c r="D31" s="70"/>
    </row>
    <row r="32" spans="1:10" ht="15" x14ac:dyDescent="0.2">
      <c r="A32" s="307"/>
      <c r="B32" s="913" t="s">
        <v>304</v>
      </c>
      <c r="C32" s="914"/>
      <c r="D32" s="915"/>
    </row>
    <row r="33" spans="1:4" x14ac:dyDescent="0.2">
      <c r="A33" s="308"/>
      <c r="B33" s="77" t="s">
        <v>3</v>
      </c>
      <c r="C33" s="78">
        <v>0.3</v>
      </c>
      <c r="D33" s="79"/>
    </row>
    <row r="34" spans="1:4" ht="54" customHeight="1" x14ac:dyDescent="0.2">
      <c r="A34" s="308"/>
      <c r="B34" s="83" t="s">
        <v>562</v>
      </c>
      <c r="C34" s="84">
        <v>0.5</v>
      </c>
      <c r="D34" s="86"/>
    </row>
    <row r="35" spans="1:4" ht="15" x14ac:dyDescent="0.2">
      <c r="A35" s="307"/>
      <c r="B35" s="913" t="s">
        <v>301</v>
      </c>
      <c r="C35" s="914"/>
      <c r="D35" s="915"/>
    </row>
    <row r="36" spans="1:4" x14ac:dyDescent="0.2">
      <c r="A36" s="308"/>
      <c r="B36" s="80" t="s">
        <v>32</v>
      </c>
      <c r="C36" s="81">
        <v>0</v>
      </c>
      <c r="D36" s="82"/>
    </row>
    <row r="37" spans="1:4" x14ac:dyDescent="0.2">
      <c r="A37" s="308"/>
      <c r="B37" s="80" t="s">
        <v>137</v>
      </c>
      <c r="C37" s="81">
        <v>0</v>
      </c>
      <c r="D37" s="82"/>
    </row>
    <row r="38" spans="1:4" x14ac:dyDescent="0.2">
      <c r="B38" s="83" t="s">
        <v>138</v>
      </c>
      <c r="C38" s="84">
        <v>0</v>
      </c>
      <c r="D38" s="86"/>
    </row>
    <row r="39" spans="1:4" ht="15" x14ac:dyDescent="0.2">
      <c r="A39" s="307"/>
      <c r="B39" s="913" t="s">
        <v>300</v>
      </c>
      <c r="C39" s="914"/>
      <c r="D39" s="915"/>
    </row>
    <row r="40" spans="1:4" x14ac:dyDescent="0.2">
      <c r="A40" s="308"/>
      <c r="B40" s="77" t="s">
        <v>139</v>
      </c>
      <c r="C40" s="78">
        <v>0</v>
      </c>
      <c r="D40" s="79"/>
    </row>
    <row r="41" spans="1:4" x14ac:dyDescent="0.2">
      <c r="A41" s="308"/>
      <c r="B41" s="80" t="s">
        <v>142</v>
      </c>
      <c r="C41" s="81">
        <v>0</v>
      </c>
      <c r="D41" s="82"/>
    </row>
    <row r="42" spans="1:4" x14ac:dyDescent="0.2">
      <c r="A42" s="308"/>
      <c r="B42" s="80" t="s">
        <v>39</v>
      </c>
      <c r="C42" s="81" t="s">
        <v>51</v>
      </c>
      <c r="D42" s="91"/>
    </row>
    <row r="43" spans="1:4" x14ac:dyDescent="0.2">
      <c r="A43" s="308"/>
      <c r="B43" s="98" t="s">
        <v>141</v>
      </c>
      <c r="C43" s="99">
        <v>0.5</v>
      </c>
      <c r="D43" s="91"/>
    </row>
    <row r="44" spans="1:4" x14ac:dyDescent="0.2">
      <c r="A44" s="308"/>
      <c r="B44" s="80" t="s">
        <v>44</v>
      </c>
      <c r="C44" s="81" t="s">
        <v>51</v>
      </c>
      <c r="D44" s="91"/>
    </row>
    <row r="45" spans="1:4" x14ac:dyDescent="0.2">
      <c r="A45" s="308"/>
      <c r="B45" s="80" t="s">
        <v>38</v>
      </c>
      <c r="C45" s="81">
        <v>0.5</v>
      </c>
      <c r="D45" s="82"/>
    </row>
    <row r="46" spans="1:4" x14ac:dyDescent="0.2">
      <c r="A46" s="308"/>
      <c r="B46" s="80" t="s">
        <v>36</v>
      </c>
      <c r="C46" s="81" t="s">
        <v>51</v>
      </c>
      <c r="D46" s="91"/>
    </row>
    <row r="47" spans="1:4" x14ac:dyDescent="0.2">
      <c r="A47" s="308"/>
      <c r="B47" s="80" t="s">
        <v>143</v>
      </c>
      <c r="C47" s="81">
        <v>0</v>
      </c>
      <c r="D47" s="82"/>
    </row>
    <row r="48" spans="1:4" x14ac:dyDescent="0.2">
      <c r="B48" s="83" t="s">
        <v>140</v>
      </c>
      <c r="C48" s="84" t="s">
        <v>51</v>
      </c>
      <c r="D48" s="86"/>
    </row>
  </sheetData>
  <sheetProtection password="CF18" sheet="1" objects="1"/>
  <mergeCells count="4">
    <mergeCell ref="B35:D35"/>
    <mergeCell ref="B39:D39"/>
    <mergeCell ref="B30:D30"/>
    <mergeCell ref="B32:D32"/>
  </mergeCells>
  <phoneticPr fontId="2" type="noConversion"/>
  <conditionalFormatting sqref="B23:J25">
    <cfRule type="expression" dxfId="30" priority="1" stopIfTrue="1">
      <formula>AND(COLUMN()=COLUMN($B23),$B23=OFFSET($B23,-1,0))</formula>
    </cfRule>
    <cfRule type="expression" dxfId="29" priority="2" stopIfTrue="1">
      <formula>$B23&lt;&gt;OFFSET($B23,-1,0)</formula>
    </cfRule>
  </conditionalFormatting>
  <dataValidations count="1">
    <dataValidation type="list" allowBlank="1" showInputMessage="1" showErrorMessage="1" sqref="E23:E25">
      <formula1>typeIndexSm</formula1>
    </dataValidation>
  </dataValidations>
  <hyperlinks>
    <hyperlink ref="D2" location="'Медиа-Заявка'!R206C3" tooltip="Вернуться на медиа-заявку" display="'Медиа-Заявка'!R206C3"/>
  </hyperlinks>
  <pageMargins left="0.75" right="0.75" top="1" bottom="1" header="0.5" footer="0.5"/>
  <pageSetup paperSize="9" scale="52" orientation="landscape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4">
    <tabColor rgb="FF92D050"/>
    <pageSetUpPr fitToPage="1"/>
  </sheetPr>
  <dimension ref="A1:J60"/>
  <sheetViews>
    <sheetView showGridLines="0" zoomScale="80" zoomScaleNormal="80" workbookViewId="0"/>
  </sheetViews>
  <sheetFormatPr defaultColWidth="9.140625" defaultRowHeight="12.75" x14ac:dyDescent="0.2"/>
  <cols>
    <col min="1" max="1" width="2.5703125" style="60" customWidth="1"/>
    <col min="2" max="2" width="33" style="60" customWidth="1"/>
    <col min="3" max="3" width="57.140625" style="60" customWidth="1"/>
    <col min="4" max="7" width="15.7109375" style="60" customWidth="1"/>
    <col min="8" max="9" width="15.7109375" style="253" customWidth="1"/>
    <col min="10" max="10" width="43.42578125" style="60" customWidth="1"/>
    <col min="11" max="11" width="31.7109375" style="60" customWidth="1"/>
    <col min="12" max="12" width="10.28515625" style="60" customWidth="1"/>
    <col min="13" max="16384" width="9.140625" style="60"/>
  </cols>
  <sheetData>
    <row r="1" spans="2:10" x14ac:dyDescent="0.2">
      <c r="J1" s="253"/>
    </row>
    <row r="2" spans="2:10" ht="18" x14ac:dyDescent="0.2">
      <c r="B2" s="12" t="s">
        <v>114</v>
      </c>
      <c r="C2" s="12"/>
      <c r="D2" s="574" t="str">
        <f>СПЛИТ!$B$3</f>
        <v>Версия прайс-листа: 23.09.2013</v>
      </c>
    </row>
    <row r="3" spans="2:10" x14ac:dyDescent="0.2">
      <c r="B3" s="3" t="s">
        <v>198</v>
      </c>
      <c r="C3" s="4"/>
    </row>
    <row r="5" spans="2:10" x14ac:dyDescent="0.2">
      <c r="B5" s="6" t="s">
        <v>303</v>
      </c>
      <c r="C5" s="4"/>
      <c r="D5" s="4"/>
      <c r="E5" s="4"/>
    </row>
    <row r="6" spans="2:10" x14ac:dyDescent="0.2">
      <c r="B6" s="328" t="s">
        <v>89</v>
      </c>
      <c r="C6" s="328" t="s">
        <v>286</v>
      </c>
    </row>
    <row r="7" spans="2:10" x14ac:dyDescent="0.2">
      <c r="B7" s="9" t="s">
        <v>79</v>
      </c>
      <c r="C7" s="285">
        <v>0.8</v>
      </c>
      <c r="D7" s="304"/>
    </row>
    <row r="8" spans="2:10" x14ac:dyDescent="0.2">
      <c r="B8" s="10" t="s">
        <v>80</v>
      </c>
      <c r="C8" s="286">
        <v>0.9</v>
      </c>
      <c r="D8" s="304"/>
    </row>
    <row r="9" spans="2:10" x14ac:dyDescent="0.2">
      <c r="B9" s="10" t="s">
        <v>81</v>
      </c>
      <c r="C9" s="286">
        <v>1</v>
      </c>
      <c r="D9" s="304"/>
    </row>
    <row r="10" spans="2:10" x14ac:dyDescent="0.2">
      <c r="B10" s="10" t="s">
        <v>82</v>
      </c>
      <c r="C10" s="286">
        <v>1</v>
      </c>
      <c r="D10" s="304"/>
    </row>
    <row r="11" spans="2:10" x14ac:dyDescent="0.2">
      <c r="B11" s="10" t="s">
        <v>83</v>
      </c>
      <c r="C11" s="286">
        <v>1</v>
      </c>
      <c r="D11" s="304"/>
    </row>
    <row r="12" spans="2:10" x14ac:dyDescent="0.2">
      <c r="B12" s="10" t="s">
        <v>84</v>
      </c>
      <c r="C12" s="286">
        <v>1</v>
      </c>
      <c r="D12" s="304"/>
    </row>
    <row r="13" spans="2:10" x14ac:dyDescent="0.2">
      <c r="B13" s="10" t="s">
        <v>85</v>
      </c>
      <c r="C13" s="286">
        <v>0.9</v>
      </c>
      <c r="D13" s="304"/>
    </row>
    <row r="14" spans="2:10" x14ac:dyDescent="0.2">
      <c r="B14" s="10" t="s">
        <v>74</v>
      </c>
      <c r="C14" s="286">
        <v>0.9</v>
      </c>
      <c r="D14" s="304"/>
      <c r="E14" s="305"/>
    </row>
    <row r="15" spans="2:10" x14ac:dyDescent="0.2">
      <c r="B15" s="10" t="s">
        <v>75</v>
      </c>
      <c r="C15" s="286">
        <v>1.3</v>
      </c>
      <c r="D15" s="304"/>
      <c r="E15" s="305"/>
    </row>
    <row r="16" spans="2:10" x14ac:dyDescent="0.2">
      <c r="B16" s="10" t="s">
        <v>86</v>
      </c>
      <c r="C16" s="286">
        <v>1.3</v>
      </c>
      <c r="D16" s="304"/>
      <c r="E16" s="305"/>
    </row>
    <row r="17" spans="1:10" x14ac:dyDescent="0.2">
      <c r="B17" s="10" t="s">
        <v>87</v>
      </c>
      <c r="C17" s="286">
        <v>1.3</v>
      </c>
      <c r="D17" s="304"/>
      <c r="E17" s="305"/>
    </row>
    <row r="18" spans="1:10" x14ac:dyDescent="0.2">
      <c r="B18" s="11" t="s">
        <v>88</v>
      </c>
      <c r="C18" s="287">
        <v>1.3</v>
      </c>
      <c r="D18" s="304"/>
    </row>
    <row r="19" spans="1:10" s="304" customFormat="1" x14ac:dyDescent="0.2">
      <c r="B19" s="15"/>
      <c r="C19" s="16"/>
      <c r="H19" s="306"/>
      <c r="I19" s="306"/>
    </row>
    <row r="22" spans="1:10" ht="44.25" customHeight="1" x14ac:dyDescent="0.55000000000000004">
      <c r="A22" s="319"/>
      <c r="B22" s="320" t="s">
        <v>278</v>
      </c>
      <c r="C22" s="320" t="s">
        <v>279</v>
      </c>
      <c r="D22" s="320" t="s">
        <v>275</v>
      </c>
      <c r="E22" s="320" t="s">
        <v>280</v>
      </c>
      <c r="F22" s="321" t="s">
        <v>395</v>
      </c>
      <c r="G22" s="321" t="s">
        <v>111</v>
      </c>
      <c r="H22" s="322" t="s">
        <v>282</v>
      </c>
      <c r="I22" s="322" t="s">
        <v>283</v>
      </c>
      <c r="J22" s="321" t="s">
        <v>285</v>
      </c>
    </row>
    <row r="23" spans="1:10" x14ac:dyDescent="0.2">
      <c r="B23" s="298" t="s">
        <v>146</v>
      </c>
      <c r="C23" s="288" t="s">
        <v>541</v>
      </c>
      <c r="D23" s="290">
        <v>105</v>
      </c>
      <c r="E23" s="289" t="s">
        <v>101</v>
      </c>
      <c r="F23" s="290">
        <v>1</v>
      </c>
      <c r="G23" s="291">
        <f t="shared" ref="G23:G38" si="0">D23/F23</f>
        <v>105</v>
      </c>
      <c r="H23" s="296">
        <v>0.25</v>
      </c>
      <c r="I23" s="296">
        <v>0.15</v>
      </c>
      <c r="J23" s="299" t="s">
        <v>65</v>
      </c>
    </row>
    <row r="24" spans="1:10" x14ac:dyDescent="0.2">
      <c r="B24" s="298" t="s">
        <v>115</v>
      </c>
      <c r="C24" s="288" t="s">
        <v>542</v>
      </c>
      <c r="D24" s="290">
        <v>56</v>
      </c>
      <c r="E24" s="289" t="s">
        <v>101</v>
      </c>
      <c r="F24" s="290">
        <v>1</v>
      </c>
      <c r="G24" s="291">
        <f t="shared" si="0"/>
        <v>56</v>
      </c>
      <c r="H24" s="296">
        <v>0.25</v>
      </c>
      <c r="I24" s="296">
        <v>0.15</v>
      </c>
      <c r="J24" s="299" t="s">
        <v>65</v>
      </c>
    </row>
    <row r="25" spans="1:10" x14ac:dyDescent="0.2">
      <c r="B25" s="298" t="s">
        <v>115</v>
      </c>
      <c r="C25" s="288" t="s">
        <v>66</v>
      </c>
      <c r="D25" s="290">
        <v>70</v>
      </c>
      <c r="E25" s="289" t="s">
        <v>101</v>
      </c>
      <c r="F25" s="290">
        <v>1</v>
      </c>
      <c r="G25" s="291">
        <f t="shared" si="0"/>
        <v>70</v>
      </c>
      <c r="H25" s="296">
        <v>0.25</v>
      </c>
      <c r="I25" s="296">
        <v>0.15</v>
      </c>
      <c r="J25" s="299" t="s">
        <v>65</v>
      </c>
    </row>
    <row r="26" spans="1:10" x14ac:dyDescent="0.2">
      <c r="B26" s="298" t="s">
        <v>115</v>
      </c>
      <c r="C26" s="288" t="s">
        <v>602</v>
      </c>
      <c r="D26" s="290">
        <v>240000</v>
      </c>
      <c r="E26" s="289" t="s">
        <v>96</v>
      </c>
      <c r="F26" s="290">
        <v>6000</v>
      </c>
      <c r="G26" s="291">
        <f t="shared" si="0"/>
        <v>40</v>
      </c>
      <c r="H26" s="296" t="s">
        <v>103</v>
      </c>
      <c r="I26" s="296" t="s">
        <v>103</v>
      </c>
      <c r="J26" s="299" t="s">
        <v>415</v>
      </c>
    </row>
    <row r="27" spans="1:10" x14ac:dyDescent="0.2">
      <c r="B27" s="298" t="s">
        <v>115</v>
      </c>
      <c r="C27" s="288" t="s">
        <v>545</v>
      </c>
      <c r="D27" s="290">
        <v>109500</v>
      </c>
      <c r="E27" s="289" t="s">
        <v>96</v>
      </c>
      <c r="F27" s="290">
        <v>1500</v>
      </c>
      <c r="G27" s="291">
        <f t="shared" si="0"/>
        <v>73</v>
      </c>
      <c r="H27" s="296" t="s">
        <v>103</v>
      </c>
      <c r="I27" s="296" t="s">
        <v>103</v>
      </c>
      <c r="J27" s="299" t="s">
        <v>415</v>
      </c>
    </row>
    <row r="28" spans="1:10" x14ac:dyDescent="0.2">
      <c r="B28" s="298" t="s">
        <v>115</v>
      </c>
      <c r="C28" s="288" t="s">
        <v>546</v>
      </c>
      <c r="D28" s="290">
        <v>73000</v>
      </c>
      <c r="E28" s="289" t="s">
        <v>96</v>
      </c>
      <c r="F28" s="290">
        <v>1000</v>
      </c>
      <c r="G28" s="291">
        <f t="shared" si="0"/>
        <v>73</v>
      </c>
      <c r="H28" s="296" t="s">
        <v>103</v>
      </c>
      <c r="I28" s="296" t="s">
        <v>103</v>
      </c>
      <c r="J28" s="299" t="s">
        <v>415</v>
      </c>
    </row>
    <row r="29" spans="1:10" x14ac:dyDescent="0.2">
      <c r="B29" s="298" t="s">
        <v>115</v>
      </c>
      <c r="C29" s="288" t="s">
        <v>547</v>
      </c>
      <c r="D29" s="290">
        <v>109500</v>
      </c>
      <c r="E29" s="289" t="s">
        <v>96</v>
      </c>
      <c r="F29" s="290">
        <v>1500</v>
      </c>
      <c r="G29" s="291">
        <f t="shared" si="0"/>
        <v>73</v>
      </c>
      <c r="H29" s="296" t="s">
        <v>103</v>
      </c>
      <c r="I29" s="296" t="s">
        <v>103</v>
      </c>
      <c r="J29" s="299" t="s">
        <v>415</v>
      </c>
    </row>
    <row r="30" spans="1:10" x14ac:dyDescent="0.2">
      <c r="B30" s="298" t="s">
        <v>115</v>
      </c>
      <c r="C30" s="288" t="s">
        <v>548</v>
      </c>
      <c r="D30" s="290">
        <v>325000</v>
      </c>
      <c r="E30" s="289" t="s">
        <v>96</v>
      </c>
      <c r="F30" s="290">
        <v>5000</v>
      </c>
      <c r="G30" s="291">
        <f t="shared" si="0"/>
        <v>65</v>
      </c>
      <c r="H30" s="296" t="s">
        <v>103</v>
      </c>
      <c r="I30" s="296" t="s">
        <v>103</v>
      </c>
      <c r="J30" s="299" t="s">
        <v>415</v>
      </c>
    </row>
    <row r="31" spans="1:10" x14ac:dyDescent="0.2">
      <c r="B31" s="298" t="s">
        <v>115</v>
      </c>
      <c r="C31" s="288" t="s">
        <v>549</v>
      </c>
      <c r="D31" s="290">
        <v>130000</v>
      </c>
      <c r="E31" s="289" t="s">
        <v>96</v>
      </c>
      <c r="F31" s="290">
        <v>2000</v>
      </c>
      <c r="G31" s="291">
        <f t="shared" si="0"/>
        <v>65</v>
      </c>
      <c r="H31" s="296" t="s">
        <v>103</v>
      </c>
      <c r="I31" s="296" t="s">
        <v>103</v>
      </c>
      <c r="J31" s="299" t="s">
        <v>415</v>
      </c>
    </row>
    <row r="32" spans="1:10" x14ac:dyDescent="0.2">
      <c r="B32" s="298" t="s">
        <v>115</v>
      </c>
      <c r="C32" s="288" t="s">
        <v>550</v>
      </c>
      <c r="D32" s="290">
        <v>130000</v>
      </c>
      <c r="E32" s="289" t="s">
        <v>96</v>
      </c>
      <c r="F32" s="290">
        <v>2000</v>
      </c>
      <c r="G32" s="291">
        <f t="shared" si="0"/>
        <v>65</v>
      </c>
      <c r="H32" s="296" t="s">
        <v>103</v>
      </c>
      <c r="I32" s="296" t="s">
        <v>103</v>
      </c>
      <c r="J32" s="299" t="s">
        <v>415</v>
      </c>
    </row>
    <row r="33" spans="1:10" x14ac:dyDescent="0.2">
      <c r="B33" s="298" t="s">
        <v>115</v>
      </c>
      <c r="C33" s="288" t="s">
        <v>551</v>
      </c>
      <c r="D33" s="290">
        <v>135000</v>
      </c>
      <c r="E33" s="289" t="s">
        <v>96</v>
      </c>
      <c r="F33" s="290">
        <v>1500</v>
      </c>
      <c r="G33" s="291">
        <f t="shared" si="0"/>
        <v>90</v>
      </c>
      <c r="H33" s="296" t="s">
        <v>103</v>
      </c>
      <c r="I33" s="296" t="s">
        <v>103</v>
      </c>
      <c r="J33" s="299" t="s">
        <v>415</v>
      </c>
    </row>
    <row r="34" spans="1:10" x14ac:dyDescent="0.2">
      <c r="B34" s="298" t="s">
        <v>115</v>
      </c>
      <c r="C34" s="288" t="s">
        <v>552</v>
      </c>
      <c r="D34" s="290">
        <v>90000</v>
      </c>
      <c r="E34" s="289" t="s">
        <v>96</v>
      </c>
      <c r="F34" s="290">
        <v>1000</v>
      </c>
      <c r="G34" s="291">
        <f t="shared" si="0"/>
        <v>90</v>
      </c>
      <c r="H34" s="296" t="s">
        <v>103</v>
      </c>
      <c r="I34" s="296" t="s">
        <v>103</v>
      </c>
      <c r="J34" s="299" t="s">
        <v>415</v>
      </c>
    </row>
    <row r="35" spans="1:10" x14ac:dyDescent="0.2">
      <c r="B35" s="298" t="s">
        <v>115</v>
      </c>
      <c r="C35" s="288" t="s">
        <v>553</v>
      </c>
      <c r="D35" s="290">
        <v>135000</v>
      </c>
      <c r="E35" s="289" t="s">
        <v>96</v>
      </c>
      <c r="F35" s="290">
        <v>1500</v>
      </c>
      <c r="G35" s="291">
        <f t="shared" si="0"/>
        <v>90</v>
      </c>
      <c r="H35" s="296" t="s">
        <v>103</v>
      </c>
      <c r="I35" s="296" t="s">
        <v>103</v>
      </c>
      <c r="J35" s="299" t="s">
        <v>415</v>
      </c>
    </row>
    <row r="36" spans="1:10" x14ac:dyDescent="0.2">
      <c r="B36" s="298" t="s">
        <v>115</v>
      </c>
      <c r="C36" s="288" t="s">
        <v>554</v>
      </c>
      <c r="D36" s="290">
        <v>400000</v>
      </c>
      <c r="E36" s="289" t="s">
        <v>96</v>
      </c>
      <c r="F36" s="290">
        <v>5000</v>
      </c>
      <c r="G36" s="291">
        <f t="shared" si="0"/>
        <v>80</v>
      </c>
      <c r="H36" s="296" t="s">
        <v>103</v>
      </c>
      <c r="I36" s="296" t="s">
        <v>103</v>
      </c>
      <c r="J36" s="299" t="s">
        <v>415</v>
      </c>
    </row>
    <row r="37" spans="1:10" x14ac:dyDescent="0.2">
      <c r="B37" s="298" t="s">
        <v>115</v>
      </c>
      <c r="C37" s="288" t="s">
        <v>555</v>
      </c>
      <c r="D37" s="290">
        <v>160000</v>
      </c>
      <c r="E37" s="289" t="s">
        <v>96</v>
      </c>
      <c r="F37" s="290">
        <v>2000</v>
      </c>
      <c r="G37" s="291">
        <f t="shared" si="0"/>
        <v>80</v>
      </c>
      <c r="H37" s="296" t="s">
        <v>103</v>
      </c>
      <c r="I37" s="296" t="s">
        <v>103</v>
      </c>
      <c r="J37" s="299" t="s">
        <v>415</v>
      </c>
    </row>
    <row r="38" spans="1:10" x14ac:dyDescent="0.2">
      <c r="B38" s="298" t="s">
        <v>115</v>
      </c>
      <c r="C38" s="288" t="s">
        <v>556</v>
      </c>
      <c r="D38" s="290">
        <v>160000</v>
      </c>
      <c r="E38" s="289" t="s">
        <v>96</v>
      </c>
      <c r="F38" s="290">
        <v>2000</v>
      </c>
      <c r="G38" s="291">
        <f t="shared" si="0"/>
        <v>80</v>
      </c>
      <c r="H38" s="296" t="s">
        <v>103</v>
      </c>
      <c r="I38" s="296" t="s">
        <v>103</v>
      </c>
      <c r="J38" s="299" t="s">
        <v>415</v>
      </c>
    </row>
    <row r="39" spans="1:10" x14ac:dyDescent="0.2">
      <c r="B39" s="323" t="s">
        <v>288</v>
      </c>
      <c r="C39" s="324"/>
      <c r="D39" s="325"/>
      <c r="E39" s="325"/>
      <c r="F39" s="325"/>
      <c r="G39" s="325"/>
      <c r="H39" s="326"/>
      <c r="I39" s="326"/>
      <c r="J39" s="327"/>
    </row>
    <row r="42" spans="1:10" x14ac:dyDescent="0.2">
      <c r="B42" s="6" t="s">
        <v>302</v>
      </c>
    </row>
    <row r="43" spans="1:10" ht="15" x14ac:dyDescent="0.2">
      <c r="A43" s="307"/>
      <c r="B43" s="913" t="s">
        <v>305</v>
      </c>
      <c r="C43" s="914"/>
      <c r="D43" s="915"/>
    </row>
    <row r="44" spans="1:10" x14ac:dyDescent="0.2">
      <c r="A44" s="308"/>
      <c r="B44" s="88" t="s">
        <v>512</v>
      </c>
      <c r="C44" s="89">
        <v>0.5</v>
      </c>
      <c r="D44" s="90"/>
    </row>
    <row r="45" spans="1:10" x14ac:dyDescent="0.2">
      <c r="A45" s="308"/>
      <c r="B45" s="88" t="s">
        <v>49</v>
      </c>
      <c r="C45" s="89">
        <v>0.25</v>
      </c>
      <c r="D45" s="90"/>
    </row>
    <row r="46" spans="1:10" x14ac:dyDescent="0.2">
      <c r="A46" s="308"/>
      <c r="B46" s="80" t="s">
        <v>50</v>
      </c>
      <c r="C46" s="81">
        <v>0.25</v>
      </c>
      <c r="D46" s="82"/>
    </row>
    <row r="47" spans="1:10" ht="15" x14ac:dyDescent="0.2">
      <c r="A47" s="307"/>
      <c r="B47" s="913" t="s">
        <v>304</v>
      </c>
      <c r="C47" s="914"/>
      <c r="D47" s="915"/>
    </row>
    <row r="48" spans="1:10" x14ac:dyDescent="0.2">
      <c r="A48" s="308"/>
      <c r="B48" s="77" t="s">
        <v>3</v>
      </c>
      <c r="C48" s="78">
        <v>0.3</v>
      </c>
      <c r="D48" s="79"/>
    </row>
    <row r="49" spans="1:4" ht="55.5" customHeight="1" x14ac:dyDescent="0.2">
      <c r="A49" s="308"/>
      <c r="B49" s="83" t="s">
        <v>562</v>
      </c>
      <c r="C49" s="84">
        <v>0.5</v>
      </c>
      <c r="D49" s="86"/>
    </row>
    <row r="50" spans="1:4" ht="15" x14ac:dyDescent="0.2">
      <c r="A50" s="307"/>
      <c r="B50" s="913" t="s">
        <v>301</v>
      </c>
      <c r="C50" s="914"/>
      <c r="D50" s="915"/>
    </row>
    <row r="51" spans="1:4" x14ac:dyDescent="0.2">
      <c r="A51" s="308"/>
      <c r="B51" s="80" t="s">
        <v>138</v>
      </c>
      <c r="C51" s="81">
        <v>0</v>
      </c>
      <c r="D51" s="82"/>
    </row>
    <row r="52" spans="1:4" x14ac:dyDescent="0.2">
      <c r="B52" s="80" t="s">
        <v>137</v>
      </c>
      <c r="C52" s="81">
        <v>0</v>
      </c>
      <c r="D52" s="82"/>
    </row>
    <row r="53" spans="1:4" ht="15" x14ac:dyDescent="0.2">
      <c r="A53" s="307"/>
      <c r="B53" s="913" t="s">
        <v>300</v>
      </c>
      <c r="C53" s="914"/>
      <c r="D53" s="915"/>
    </row>
    <row r="54" spans="1:4" x14ac:dyDescent="0.2">
      <c r="A54" s="308"/>
      <c r="B54" s="77" t="s">
        <v>139</v>
      </c>
      <c r="C54" s="78">
        <v>0</v>
      </c>
      <c r="D54" s="108"/>
    </row>
    <row r="55" spans="1:4" x14ac:dyDescent="0.2">
      <c r="A55" s="308"/>
      <c r="B55" s="80" t="s">
        <v>143</v>
      </c>
      <c r="C55" s="81">
        <v>0</v>
      </c>
      <c r="D55" s="91"/>
    </row>
    <row r="56" spans="1:4" x14ac:dyDescent="0.2">
      <c r="A56" s="308"/>
      <c r="B56" s="80" t="s">
        <v>35</v>
      </c>
      <c r="C56" s="81">
        <v>0</v>
      </c>
      <c r="D56" s="82"/>
    </row>
    <row r="57" spans="1:4" x14ac:dyDescent="0.2">
      <c r="A57" s="308"/>
      <c r="B57" s="80" t="s">
        <v>39</v>
      </c>
      <c r="C57" s="81" t="s">
        <v>51</v>
      </c>
      <c r="D57" s="91"/>
    </row>
    <row r="58" spans="1:4" x14ac:dyDescent="0.2">
      <c r="B58" s="80" t="s">
        <v>140</v>
      </c>
      <c r="C58" s="81">
        <v>0.3</v>
      </c>
      <c r="D58" s="82"/>
    </row>
    <row r="59" spans="1:4" x14ac:dyDescent="0.2">
      <c r="A59" s="308"/>
      <c r="B59" s="83" t="s">
        <v>38</v>
      </c>
      <c r="C59" s="84">
        <v>0.3</v>
      </c>
      <c r="D59" s="105"/>
    </row>
    <row r="60" spans="1:4" x14ac:dyDescent="0.2">
      <c r="A60" s="308"/>
      <c r="B60" s="73"/>
      <c r="C60" s="74"/>
      <c r="D60" s="75"/>
    </row>
  </sheetData>
  <sheetProtection password="CF18" sheet="1" objects="1"/>
  <mergeCells count="4">
    <mergeCell ref="B50:D50"/>
    <mergeCell ref="B53:D53"/>
    <mergeCell ref="B43:D43"/>
    <mergeCell ref="B47:D47"/>
  </mergeCells>
  <phoneticPr fontId="2" type="noConversion"/>
  <conditionalFormatting sqref="B23:J38">
    <cfRule type="expression" dxfId="28" priority="1" stopIfTrue="1">
      <formula>AND(COLUMN()=COLUMN($B23),$B23=OFFSET($B23,-1,0))</formula>
    </cfRule>
    <cfRule type="expression" dxfId="27" priority="2" stopIfTrue="1">
      <formula>$B23&lt;&gt;OFFSET($B23,-1,0)</formula>
    </cfRule>
  </conditionalFormatting>
  <dataValidations count="1">
    <dataValidation type="list" allowBlank="1" showInputMessage="1" showErrorMessage="1" sqref="E23:E38">
      <formula1>typeIndexSm</formula1>
    </dataValidation>
  </dataValidations>
  <hyperlinks>
    <hyperlink ref="D2" location="'Медиа-Заявка'!R210C3" tooltip="Вернуться на медиа-заявку" display="'Медиа-Заявка'!R210C3"/>
  </hyperlinks>
  <pageMargins left="0.75" right="0.75" top="1" bottom="1" header="0.5" footer="0.5"/>
  <pageSetup paperSize="9" scale="49" orientation="landscape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7">
    <tabColor rgb="FF92D050"/>
    <pageSetUpPr fitToPage="1"/>
  </sheetPr>
  <dimension ref="A1:J67"/>
  <sheetViews>
    <sheetView showGridLines="0" zoomScale="80" zoomScaleNormal="80" workbookViewId="0"/>
  </sheetViews>
  <sheetFormatPr defaultColWidth="9.140625" defaultRowHeight="12.75" x14ac:dyDescent="0.2"/>
  <cols>
    <col min="1" max="1" width="2.5703125" style="60" customWidth="1"/>
    <col min="2" max="2" width="33" style="60" customWidth="1"/>
    <col min="3" max="3" width="57.140625" style="60" customWidth="1"/>
    <col min="4" max="7" width="15.7109375" style="60" customWidth="1"/>
    <col min="8" max="9" width="15.7109375" style="253" customWidth="1"/>
    <col min="10" max="10" width="43.42578125" style="60" customWidth="1"/>
    <col min="11" max="11" width="10.28515625" style="60" customWidth="1"/>
    <col min="12" max="16384" width="9.140625" style="60"/>
  </cols>
  <sheetData>
    <row r="1" spans="2:10" x14ac:dyDescent="0.2">
      <c r="J1" s="253"/>
    </row>
    <row r="2" spans="2:10" ht="18" x14ac:dyDescent="0.2">
      <c r="B2" s="12" t="s">
        <v>150</v>
      </c>
      <c r="C2" s="12"/>
      <c r="D2" s="574" t="str">
        <f>СПЛИТ!$B$3</f>
        <v>Версия прайс-листа: 23.09.2013</v>
      </c>
    </row>
    <row r="3" spans="2:10" x14ac:dyDescent="0.2">
      <c r="B3" s="3" t="s">
        <v>198</v>
      </c>
      <c r="C3" s="4"/>
    </row>
    <row r="5" spans="2:10" x14ac:dyDescent="0.2">
      <c r="B5" s="6" t="s">
        <v>303</v>
      </c>
      <c r="C5" s="4"/>
      <c r="D5" s="4"/>
      <c r="E5" s="4"/>
    </row>
    <row r="6" spans="2:10" x14ac:dyDescent="0.2">
      <c r="B6" s="328" t="s">
        <v>89</v>
      </c>
      <c r="C6" s="328" t="s">
        <v>286</v>
      </c>
    </row>
    <row r="7" spans="2:10" x14ac:dyDescent="0.2">
      <c r="B7" s="9" t="s">
        <v>79</v>
      </c>
      <c r="C7" s="285">
        <v>0.8</v>
      </c>
      <c r="D7" s="304"/>
    </row>
    <row r="8" spans="2:10" x14ac:dyDescent="0.2">
      <c r="B8" s="10" t="s">
        <v>80</v>
      </c>
      <c r="C8" s="286">
        <v>0.9</v>
      </c>
      <c r="D8" s="304"/>
    </row>
    <row r="9" spans="2:10" x14ac:dyDescent="0.2">
      <c r="B9" s="10" t="s">
        <v>81</v>
      </c>
      <c r="C9" s="286">
        <v>1</v>
      </c>
      <c r="D9" s="304"/>
    </row>
    <row r="10" spans="2:10" x14ac:dyDescent="0.2">
      <c r="B10" s="10" t="s">
        <v>82</v>
      </c>
      <c r="C10" s="286">
        <v>1</v>
      </c>
      <c r="D10" s="304"/>
    </row>
    <row r="11" spans="2:10" x14ac:dyDescent="0.2">
      <c r="B11" s="10" t="s">
        <v>83</v>
      </c>
      <c r="C11" s="286">
        <v>1</v>
      </c>
      <c r="D11" s="304"/>
    </row>
    <row r="12" spans="2:10" x14ac:dyDescent="0.2">
      <c r="B12" s="10" t="s">
        <v>84</v>
      </c>
      <c r="C12" s="286">
        <v>1</v>
      </c>
      <c r="D12" s="304"/>
    </row>
    <row r="13" spans="2:10" x14ac:dyDescent="0.2">
      <c r="B13" s="10" t="s">
        <v>85</v>
      </c>
      <c r="C13" s="286">
        <v>0.9</v>
      </c>
      <c r="D13" s="304"/>
    </row>
    <row r="14" spans="2:10" x14ac:dyDescent="0.2">
      <c r="B14" s="10" t="s">
        <v>74</v>
      </c>
      <c r="C14" s="286">
        <v>0.9</v>
      </c>
      <c r="D14" s="304"/>
      <c r="E14" s="305"/>
    </row>
    <row r="15" spans="2:10" x14ac:dyDescent="0.2">
      <c r="B15" s="10" t="s">
        <v>75</v>
      </c>
      <c r="C15" s="286">
        <v>1.3</v>
      </c>
      <c r="D15" s="304"/>
      <c r="E15" s="305"/>
    </row>
    <row r="16" spans="2:10" x14ac:dyDescent="0.2">
      <c r="B16" s="10" t="s">
        <v>86</v>
      </c>
      <c r="C16" s="286">
        <v>1.3</v>
      </c>
      <c r="D16" s="304"/>
      <c r="E16" s="305"/>
    </row>
    <row r="17" spans="1:10" x14ac:dyDescent="0.2">
      <c r="B17" s="10" t="s">
        <v>87</v>
      </c>
      <c r="C17" s="286">
        <v>1.3</v>
      </c>
      <c r="D17" s="304"/>
      <c r="E17" s="305"/>
    </row>
    <row r="18" spans="1:10" x14ac:dyDescent="0.2">
      <c r="B18" s="11" t="s">
        <v>88</v>
      </c>
      <c r="C18" s="287">
        <v>1.3</v>
      </c>
      <c r="D18" s="304"/>
    </row>
    <row r="19" spans="1:10" s="304" customFormat="1" x14ac:dyDescent="0.2">
      <c r="B19" s="15"/>
      <c r="C19" s="16"/>
      <c r="H19" s="306"/>
      <c r="I19" s="306"/>
    </row>
    <row r="22" spans="1:10" ht="44.25" customHeight="1" x14ac:dyDescent="0.55000000000000004">
      <c r="A22" s="319"/>
      <c r="B22" s="320" t="s">
        <v>278</v>
      </c>
      <c r="C22" s="320" t="s">
        <v>279</v>
      </c>
      <c r="D22" s="320" t="s">
        <v>275</v>
      </c>
      <c r="E22" s="320" t="s">
        <v>280</v>
      </c>
      <c r="F22" s="321" t="s">
        <v>395</v>
      </c>
      <c r="G22" s="321" t="s">
        <v>111</v>
      </c>
      <c r="H22" s="322" t="s">
        <v>282</v>
      </c>
      <c r="I22" s="322" t="s">
        <v>283</v>
      </c>
      <c r="J22" s="321" t="s">
        <v>285</v>
      </c>
    </row>
    <row r="23" spans="1:10" ht="25.5" x14ac:dyDescent="0.2">
      <c r="B23" s="298" t="s">
        <v>113</v>
      </c>
      <c r="C23" s="288" t="s">
        <v>593</v>
      </c>
      <c r="D23" s="290">
        <v>300000</v>
      </c>
      <c r="E23" s="289" t="s">
        <v>96</v>
      </c>
      <c r="F23" s="290">
        <v>2000</v>
      </c>
      <c r="G23" s="291">
        <f>D23/F23</f>
        <v>150</v>
      </c>
      <c r="H23" s="296" t="s">
        <v>874</v>
      </c>
      <c r="I23" s="296" t="s">
        <v>875</v>
      </c>
      <c r="J23" s="299" t="s">
        <v>744</v>
      </c>
    </row>
    <row r="24" spans="1:10" x14ac:dyDescent="0.2">
      <c r="B24" s="298" t="s">
        <v>113</v>
      </c>
      <c r="C24" s="288" t="s">
        <v>594</v>
      </c>
      <c r="D24" s="290">
        <v>380000</v>
      </c>
      <c r="E24" s="289" t="s">
        <v>96</v>
      </c>
      <c r="F24" s="290">
        <v>2000</v>
      </c>
      <c r="G24" s="291">
        <f t="shared" ref="G24:G38" si="0">D24/F24</f>
        <v>190</v>
      </c>
      <c r="H24" s="296" t="s">
        <v>874</v>
      </c>
      <c r="I24" s="296" t="s">
        <v>875</v>
      </c>
      <c r="J24" s="299"/>
    </row>
    <row r="25" spans="1:10" x14ac:dyDescent="0.2">
      <c r="B25" s="298" t="s">
        <v>113</v>
      </c>
      <c r="C25" s="288" t="s">
        <v>753</v>
      </c>
      <c r="D25" s="290">
        <v>150</v>
      </c>
      <c r="E25" s="289" t="s">
        <v>101</v>
      </c>
      <c r="F25" s="290">
        <v>1</v>
      </c>
      <c r="G25" s="291">
        <f t="shared" ref="G25" si="1">D25/F25</f>
        <v>150</v>
      </c>
      <c r="H25" s="296" t="s">
        <v>874</v>
      </c>
      <c r="I25" s="296" t="s">
        <v>875</v>
      </c>
      <c r="J25" s="299" t="s">
        <v>754</v>
      </c>
    </row>
    <row r="26" spans="1:10" x14ac:dyDescent="0.2">
      <c r="B26" s="298" t="s">
        <v>113</v>
      </c>
      <c r="C26" s="288" t="s">
        <v>755</v>
      </c>
      <c r="D26" s="290">
        <v>190</v>
      </c>
      <c r="E26" s="289" t="s">
        <v>101</v>
      </c>
      <c r="F26" s="290">
        <v>1</v>
      </c>
      <c r="G26" s="291">
        <f t="shared" ref="G26" si="2">D26/F26</f>
        <v>190</v>
      </c>
      <c r="H26" s="296" t="s">
        <v>874</v>
      </c>
      <c r="I26" s="296" t="s">
        <v>875</v>
      </c>
      <c r="J26" s="299" t="s">
        <v>754</v>
      </c>
    </row>
    <row r="27" spans="1:10" ht="25.5" x14ac:dyDescent="0.2">
      <c r="B27" s="298" t="s">
        <v>113</v>
      </c>
      <c r="C27" s="288" t="s">
        <v>595</v>
      </c>
      <c r="D27" s="290">
        <v>600000</v>
      </c>
      <c r="E27" s="289" t="s">
        <v>96</v>
      </c>
      <c r="F27" s="290">
        <v>5000</v>
      </c>
      <c r="G27" s="291">
        <f>D27/F27</f>
        <v>120</v>
      </c>
      <c r="H27" s="296" t="s">
        <v>874</v>
      </c>
      <c r="I27" s="296" t="s">
        <v>875</v>
      </c>
      <c r="J27" s="299" t="s">
        <v>744</v>
      </c>
    </row>
    <row r="28" spans="1:10" x14ac:dyDescent="0.2">
      <c r="B28" s="298" t="s">
        <v>113</v>
      </c>
      <c r="C28" s="288" t="s">
        <v>596</v>
      </c>
      <c r="D28" s="290">
        <v>750000</v>
      </c>
      <c r="E28" s="289" t="s">
        <v>96</v>
      </c>
      <c r="F28" s="290">
        <v>5000</v>
      </c>
      <c r="G28" s="291">
        <f t="shared" si="0"/>
        <v>150</v>
      </c>
      <c r="H28" s="296" t="s">
        <v>874</v>
      </c>
      <c r="I28" s="296" t="s">
        <v>875</v>
      </c>
      <c r="J28" s="299"/>
    </row>
    <row r="29" spans="1:10" ht="25.5" x14ac:dyDescent="0.2">
      <c r="B29" s="298" t="s">
        <v>113</v>
      </c>
      <c r="C29" s="288" t="s">
        <v>597</v>
      </c>
      <c r="D29" s="290">
        <v>800000</v>
      </c>
      <c r="E29" s="289" t="s">
        <v>96</v>
      </c>
      <c r="F29" s="290">
        <v>8000</v>
      </c>
      <c r="G29" s="291">
        <f>D29/F29</f>
        <v>100</v>
      </c>
      <c r="H29" s="296" t="s">
        <v>874</v>
      </c>
      <c r="I29" s="296" t="s">
        <v>875</v>
      </c>
      <c r="J29" s="299" t="s">
        <v>744</v>
      </c>
    </row>
    <row r="30" spans="1:10" x14ac:dyDescent="0.2">
      <c r="B30" s="298" t="s">
        <v>113</v>
      </c>
      <c r="C30" s="288" t="s">
        <v>598</v>
      </c>
      <c r="D30" s="290">
        <v>960000</v>
      </c>
      <c r="E30" s="289" t="s">
        <v>96</v>
      </c>
      <c r="F30" s="290">
        <v>8000</v>
      </c>
      <c r="G30" s="291">
        <f>D30/F30</f>
        <v>120</v>
      </c>
      <c r="H30" s="296" t="s">
        <v>874</v>
      </c>
      <c r="I30" s="296" t="s">
        <v>875</v>
      </c>
      <c r="J30" s="299"/>
    </row>
    <row r="31" spans="1:10" ht="38.25" x14ac:dyDescent="0.2">
      <c r="B31" s="298" t="s">
        <v>0</v>
      </c>
      <c r="C31" s="288" t="s">
        <v>599</v>
      </c>
      <c r="D31" s="290">
        <v>300000</v>
      </c>
      <c r="E31" s="289" t="s">
        <v>96</v>
      </c>
      <c r="F31" s="290">
        <v>2000</v>
      </c>
      <c r="G31" s="291">
        <f>D31/F31</f>
        <v>150</v>
      </c>
      <c r="H31" s="296" t="s">
        <v>874</v>
      </c>
      <c r="I31" s="296" t="s">
        <v>875</v>
      </c>
      <c r="J31" s="299" t="s">
        <v>744</v>
      </c>
    </row>
    <row r="32" spans="1:10" ht="38.25" x14ac:dyDescent="0.2">
      <c r="B32" s="298" t="s">
        <v>0</v>
      </c>
      <c r="C32" s="288" t="s">
        <v>600</v>
      </c>
      <c r="D32" s="290">
        <v>380000</v>
      </c>
      <c r="E32" s="289" t="s">
        <v>96</v>
      </c>
      <c r="F32" s="290">
        <v>2000</v>
      </c>
      <c r="G32" s="291">
        <f t="shared" si="0"/>
        <v>190</v>
      </c>
      <c r="H32" s="296" t="s">
        <v>874</v>
      </c>
      <c r="I32" s="296" t="s">
        <v>875</v>
      </c>
      <c r="J32" s="776"/>
    </row>
    <row r="33" spans="2:10" ht="38.25" x14ac:dyDescent="0.2">
      <c r="B33" s="298" t="s">
        <v>170</v>
      </c>
      <c r="C33" s="288" t="s">
        <v>757</v>
      </c>
      <c r="D33" s="290">
        <v>300000</v>
      </c>
      <c r="E33" s="289" t="s">
        <v>96</v>
      </c>
      <c r="F33" s="290">
        <v>2000</v>
      </c>
      <c r="G33" s="291">
        <f t="shared" si="0"/>
        <v>150</v>
      </c>
      <c r="H33" s="296" t="s">
        <v>874</v>
      </c>
      <c r="I33" s="296" t="s">
        <v>875</v>
      </c>
      <c r="J33" s="299" t="s">
        <v>184</v>
      </c>
    </row>
    <row r="34" spans="2:10" ht="38.25" x14ac:dyDescent="0.2">
      <c r="B34" s="298" t="s">
        <v>170</v>
      </c>
      <c r="C34" s="288" t="s">
        <v>756</v>
      </c>
      <c r="D34" s="290">
        <v>150</v>
      </c>
      <c r="E34" s="289" t="s">
        <v>101</v>
      </c>
      <c r="F34" s="290">
        <v>1</v>
      </c>
      <c r="G34" s="291">
        <f t="shared" ref="G34" si="3">D34/F34</f>
        <v>150</v>
      </c>
      <c r="H34" s="296" t="s">
        <v>874</v>
      </c>
      <c r="I34" s="296" t="s">
        <v>875</v>
      </c>
      <c r="J34" s="299" t="s">
        <v>184</v>
      </c>
    </row>
    <row r="35" spans="2:10" ht="38.25" x14ac:dyDescent="0.2">
      <c r="B35" s="298" t="s">
        <v>170</v>
      </c>
      <c r="C35" s="288" t="s">
        <v>759</v>
      </c>
      <c r="D35" s="290">
        <v>600000</v>
      </c>
      <c r="E35" s="289" t="s">
        <v>96</v>
      </c>
      <c r="F35" s="290">
        <v>5000</v>
      </c>
      <c r="G35" s="291">
        <f t="shared" si="0"/>
        <v>120</v>
      </c>
      <c r="H35" s="296" t="s">
        <v>874</v>
      </c>
      <c r="I35" s="296" t="s">
        <v>875</v>
      </c>
      <c r="J35" s="299" t="s">
        <v>184</v>
      </c>
    </row>
    <row r="36" spans="2:10" ht="38.25" x14ac:dyDescent="0.2">
      <c r="B36" s="298" t="s">
        <v>170</v>
      </c>
      <c r="C36" s="288" t="s">
        <v>758</v>
      </c>
      <c r="D36" s="290">
        <v>800000</v>
      </c>
      <c r="E36" s="289" t="s">
        <v>96</v>
      </c>
      <c r="F36" s="290">
        <v>8000</v>
      </c>
      <c r="G36" s="291">
        <f t="shared" si="0"/>
        <v>100</v>
      </c>
      <c r="H36" s="296" t="s">
        <v>874</v>
      </c>
      <c r="I36" s="296" t="s">
        <v>875</v>
      </c>
      <c r="J36" s="299" t="s">
        <v>184</v>
      </c>
    </row>
    <row r="37" spans="2:10" x14ac:dyDescent="0.2">
      <c r="B37" s="298" t="s">
        <v>116</v>
      </c>
      <c r="C37" s="288" t="s">
        <v>691</v>
      </c>
      <c r="D37" s="290">
        <v>2000</v>
      </c>
      <c r="E37" s="289" t="s">
        <v>101</v>
      </c>
      <c r="F37" s="290">
        <v>1</v>
      </c>
      <c r="G37" s="291">
        <f>D37/F37</f>
        <v>2000</v>
      </c>
      <c r="H37" s="296" t="s">
        <v>103</v>
      </c>
      <c r="I37" s="296" t="s">
        <v>103</v>
      </c>
      <c r="J37" s="299" t="s">
        <v>31</v>
      </c>
    </row>
    <row r="38" spans="2:10" x14ac:dyDescent="0.2">
      <c r="B38" s="298" t="s">
        <v>113</v>
      </c>
      <c r="C38" s="288" t="s">
        <v>557</v>
      </c>
      <c r="D38" s="290">
        <v>320000</v>
      </c>
      <c r="E38" s="289" t="s">
        <v>96</v>
      </c>
      <c r="F38" s="290">
        <v>8000</v>
      </c>
      <c r="G38" s="291">
        <f t="shared" si="0"/>
        <v>40</v>
      </c>
      <c r="H38" s="296" t="s">
        <v>103</v>
      </c>
      <c r="I38" s="296" t="s">
        <v>103</v>
      </c>
      <c r="J38" s="299"/>
    </row>
    <row r="39" spans="2:10" x14ac:dyDescent="0.2">
      <c r="B39" s="323" t="s">
        <v>288</v>
      </c>
      <c r="C39" s="324"/>
      <c r="D39" s="325"/>
      <c r="E39" s="325"/>
      <c r="F39" s="325"/>
      <c r="G39" s="325"/>
      <c r="H39" s="326"/>
      <c r="I39" s="326"/>
      <c r="J39" s="327"/>
    </row>
    <row r="42" spans="2:10" x14ac:dyDescent="0.2">
      <c r="B42" s="6" t="s">
        <v>302</v>
      </c>
    </row>
    <row r="43" spans="2:10" x14ac:dyDescent="0.2">
      <c r="B43" s="913" t="s">
        <v>306</v>
      </c>
      <c r="C43" s="914"/>
      <c r="D43" s="915"/>
    </row>
    <row r="44" spans="2:10" x14ac:dyDescent="0.2">
      <c r="B44" s="851" t="s">
        <v>185</v>
      </c>
      <c r="C44" s="852" t="s">
        <v>186</v>
      </c>
      <c r="D44" s="853">
        <v>0.5</v>
      </c>
    </row>
    <row r="45" spans="2:10" x14ac:dyDescent="0.2">
      <c r="B45" s="951" t="s">
        <v>876</v>
      </c>
      <c r="C45" s="854" t="s">
        <v>877</v>
      </c>
      <c r="D45" s="857">
        <v>0</v>
      </c>
    </row>
    <row r="46" spans="2:10" x14ac:dyDescent="0.2">
      <c r="B46" s="952"/>
      <c r="C46" s="855" t="s">
        <v>878</v>
      </c>
      <c r="D46" s="858">
        <v>0</v>
      </c>
    </row>
    <row r="47" spans="2:10" x14ac:dyDescent="0.2">
      <c r="B47" s="953"/>
      <c r="C47" s="856" t="s">
        <v>879</v>
      </c>
      <c r="D47" s="859">
        <v>0.25</v>
      </c>
    </row>
    <row r="48" spans="2:10" x14ac:dyDescent="0.2">
      <c r="B48" s="951" t="s">
        <v>420</v>
      </c>
      <c r="C48" s="855" t="s">
        <v>880</v>
      </c>
      <c r="D48" s="860">
        <v>0</v>
      </c>
    </row>
    <row r="49" spans="1:4" x14ac:dyDescent="0.2">
      <c r="B49" s="952"/>
      <c r="C49" s="855" t="s">
        <v>881</v>
      </c>
      <c r="D49" s="860">
        <v>0.15</v>
      </c>
    </row>
    <row r="50" spans="1:4" x14ac:dyDescent="0.2">
      <c r="B50" s="952"/>
      <c r="C50" s="861" t="s">
        <v>882</v>
      </c>
      <c r="D50" s="862">
        <v>0.15</v>
      </c>
    </row>
    <row r="51" spans="1:4" x14ac:dyDescent="0.2">
      <c r="B51" s="951" t="s">
        <v>187</v>
      </c>
      <c r="C51" s="854" t="s">
        <v>883</v>
      </c>
      <c r="D51" s="863">
        <v>0</v>
      </c>
    </row>
    <row r="52" spans="1:4" x14ac:dyDescent="0.2">
      <c r="B52" s="952"/>
      <c r="C52" s="855" t="s">
        <v>884</v>
      </c>
      <c r="D52" s="860">
        <v>0.25</v>
      </c>
    </row>
    <row r="53" spans="1:4" x14ac:dyDescent="0.2">
      <c r="B53" s="953"/>
      <c r="C53" s="856" t="s">
        <v>158</v>
      </c>
      <c r="D53" s="864">
        <v>0.25</v>
      </c>
    </row>
    <row r="54" spans="1:4" ht="15" x14ac:dyDescent="0.2">
      <c r="A54" s="307"/>
      <c r="B54" s="913" t="s">
        <v>304</v>
      </c>
      <c r="C54" s="914"/>
      <c r="D54" s="915"/>
    </row>
    <row r="55" spans="1:4" x14ac:dyDescent="0.2">
      <c r="A55" s="308"/>
      <c r="B55" s="77" t="s">
        <v>3</v>
      </c>
      <c r="C55" s="78">
        <v>0.3</v>
      </c>
      <c r="D55" s="79"/>
    </row>
    <row r="56" spans="1:4" ht="53.25" customHeight="1" x14ac:dyDescent="0.2">
      <c r="A56" s="308"/>
      <c r="B56" s="83" t="s">
        <v>562</v>
      </c>
      <c r="C56" s="84">
        <v>0.5</v>
      </c>
      <c r="D56" s="86"/>
    </row>
    <row r="57" spans="1:4" ht="15" x14ac:dyDescent="0.2">
      <c r="A57" s="307"/>
      <c r="B57" s="913" t="s">
        <v>301</v>
      </c>
      <c r="C57" s="914"/>
      <c r="D57" s="915"/>
    </row>
    <row r="58" spans="1:4" x14ac:dyDescent="0.2">
      <c r="B58" s="80" t="s">
        <v>8</v>
      </c>
      <c r="C58" s="81">
        <v>0</v>
      </c>
      <c r="D58" s="82"/>
    </row>
    <row r="59" spans="1:4" x14ac:dyDescent="0.2">
      <c r="B59" s="80" t="s">
        <v>138</v>
      </c>
      <c r="C59" s="81">
        <v>0</v>
      </c>
      <c r="D59" s="82"/>
    </row>
    <row r="60" spans="1:4" ht="15" x14ac:dyDescent="0.2">
      <c r="A60" s="307"/>
      <c r="B60" s="913" t="s">
        <v>300</v>
      </c>
      <c r="C60" s="914"/>
      <c r="D60" s="915"/>
    </row>
    <row r="61" spans="1:4" x14ac:dyDescent="0.2">
      <c r="A61" s="308"/>
      <c r="B61" s="77" t="s">
        <v>5</v>
      </c>
      <c r="C61" s="88" t="s">
        <v>51</v>
      </c>
      <c r="D61" s="91" t="s">
        <v>448</v>
      </c>
    </row>
    <row r="62" spans="1:4" x14ac:dyDescent="0.2">
      <c r="A62" s="308"/>
      <c r="B62" s="80" t="s">
        <v>144</v>
      </c>
      <c r="C62" s="81">
        <v>0</v>
      </c>
      <c r="D62" s="82"/>
    </row>
    <row r="63" spans="1:4" x14ac:dyDescent="0.2">
      <c r="A63" s="308"/>
      <c r="B63" s="80" t="s">
        <v>35</v>
      </c>
      <c r="C63" s="81">
        <v>0</v>
      </c>
      <c r="D63" s="82"/>
    </row>
    <row r="64" spans="1:4" x14ac:dyDescent="0.2">
      <c r="A64" s="308"/>
      <c r="B64" s="88" t="s">
        <v>54</v>
      </c>
      <c r="C64" s="89">
        <v>0.75</v>
      </c>
      <c r="D64" s="664"/>
    </row>
    <row r="65" spans="1:4" x14ac:dyDescent="0.2">
      <c r="A65" s="308"/>
      <c r="B65" s="88" t="s">
        <v>447</v>
      </c>
      <c r="C65" s="89" t="s">
        <v>51</v>
      </c>
      <c r="D65" s="664"/>
    </row>
    <row r="66" spans="1:4" x14ac:dyDescent="0.2">
      <c r="A66" s="308"/>
      <c r="B66" s="88" t="s">
        <v>36</v>
      </c>
      <c r="C66" s="89" t="s">
        <v>51</v>
      </c>
      <c r="D66" s="107"/>
    </row>
    <row r="67" spans="1:4" x14ac:dyDescent="0.2">
      <c r="B67" s="83" t="s">
        <v>140</v>
      </c>
      <c r="C67" s="84" t="s">
        <v>51</v>
      </c>
      <c r="D67" s="84"/>
    </row>
  </sheetData>
  <sheetProtection password="CF18" sheet="1" objects="1"/>
  <mergeCells count="7">
    <mergeCell ref="B54:D54"/>
    <mergeCell ref="B57:D57"/>
    <mergeCell ref="B60:D60"/>
    <mergeCell ref="B43:D43"/>
    <mergeCell ref="B45:B47"/>
    <mergeCell ref="B48:B50"/>
    <mergeCell ref="B51:B53"/>
  </mergeCells>
  <phoneticPr fontId="2" type="noConversion"/>
  <conditionalFormatting sqref="B23:J38">
    <cfRule type="expression" dxfId="26" priority="1" stopIfTrue="1">
      <formula>AND(COLUMN()=COLUMN($B23),$B23=OFFSET($B23,-1,0))</formula>
    </cfRule>
    <cfRule type="expression" dxfId="25" priority="2" stopIfTrue="1">
      <formula>$B23&lt;&gt;OFFSET($B23,-1,0)</formula>
    </cfRule>
  </conditionalFormatting>
  <dataValidations disablePrompts="1" count="1">
    <dataValidation type="list" allowBlank="1" showInputMessage="1" showErrorMessage="1" sqref="E23:E38">
      <formula1>typeIndexSm</formula1>
    </dataValidation>
  </dataValidations>
  <hyperlinks>
    <hyperlink ref="D2" location="'Медиа-Заявка'!R227C3" tooltip="Вернуться на медиа-заявку" display="'Медиа-Заявка'!R227C3"/>
  </hyperlinks>
  <pageMargins left="0.75" right="0.75" top="1" bottom="1" header="0.5" footer="0.5"/>
  <pageSetup paperSize="9" scale="44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>
    <tabColor rgb="FF92D050"/>
    <pageSetUpPr fitToPage="1"/>
  </sheetPr>
  <dimension ref="A1:J38"/>
  <sheetViews>
    <sheetView showGridLines="0" zoomScale="80" zoomScaleNormal="80" workbookViewId="0"/>
  </sheetViews>
  <sheetFormatPr defaultColWidth="9.140625" defaultRowHeight="12.75" x14ac:dyDescent="0.2"/>
  <cols>
    <col min="1" max="1" width="2.5703125" style="60" customWidth="1"/>
    <col min="2" max="2" width="33" style="60" customWidth="1"/>
    <col min="3" max="3" width="57.140625" style="60" customWidth="1"/>
    <col min="4" max="7" width="15.7109375" style="60" customWidth="1"/>
    <col min="8" max="9" width="15.7109375" style="253" customWidth="1"/>
    <col min="10" max="10" width="43.42578125" style="60" customWidth="1"/>
    <col min="11" max="16384" width="9.140625" style="60"/>
  </cols>
  <sheetData>
    <row r="1" spans="2:10" x14ac:dyDescent="0.2">
      <c r="J1" s="253"/>
    </row>
    <row r="2" spans="2:10" ht="18" x14ac:dyDescent="0.2">
      <c r="B2" s="12" t="s">
        <v>98</v>
      </c>
      <c r="C2" s="12"/>
      <c r="D2" s="574" t="str">
        <f>СПЛИТ!$B$3</f>
        <v>Версия прайс-листа: 23.09.2013</v>
      </c>
    </row>
    <row r="3" spans="2:10" x14ac:dyDescent="0.2">
      <c r="B3" s="3" t="s">
        <v>198</v>
      </c>
      <c r="C3" s="4"/>
    </row>
    <row r="5" spans="2:10" x14ac:dyDescent="0.2">
      <c r="B5" s="6" t="s">
        <v>303</v>
      </c>
      <c r="C5" s="4"/>
      <c r="D5" s="4"/>
      <c r="E5" s="4"/>
    </row>
    <row r="6" spans="2:10" x14ac:dyDescent="0.2">
      <c r="B6" s="328" t="s">
        <v>89</v>
      </c>
      <c r="C6" s="328" t="s">
        <v>286</v>
      </c>
    </row>
    <row r="7" spans="2:10" x14ac:dyDescent="0.2">
      <c r="B7" s="9" t="s">
        <v>79</v>
      </c>
      <c r="C7" s="285">
        <v>0.8</v>
      </c>
      <c r="D7" s="304"/>
    </row>
    <row r="8" spans="2:10" x14ac:dyDescent="0.2">
      <c r="B8" s="10" t="s">
        <v>80</v>
      </c>
      <c r="C8" s="286">
        <v>0.9</v>
      </c>
      <c r="D8" s="304"/>
    </row>
    <row r="9" spans="2:10" x14ac:dyDescent="0.2">
      <c r="B9" s="10" t="s">
        <v>81</v>
      </c>
      <c r="C9" s="286">
        <v>1</v>
      </c>
      <c r="D9" s="304"/>
    </row>
    <row r="10" spans="2:10" x14ac:dyDescent="0.2">
      <c r="B10" s="10" t="s">
        <v>82</v>
      </c>
      <c r="C10" s="286">
        <v>1</v>
      </c>
      <c r="D10" s="304"/>
    </row>
    <row r="11" spans="2:10" x14ac:dyDescent="0.2">
      <c r="B11" s="10" t="s">
        <v>83</v>
      </c>
      <c r="C11" s="286">
        <v>1</v>
      </c>
      <c r="D11" s="304"/>
    </row>
    <row r="12" spans="2:10" x14ac:dyDescent="0.2">
      <c r="B12" s="10" t="s">
        <v>84</v>
      </c>
      <c r="C12" s="286">
        <v>1</v>
      </c>
      <c r="D12" s="304"/>
    </row>
    <row r="13" spans="2:10" x14ac:dyDescent="0.2">
      <c r="B13" s="10" t="s">
        <v>85</v>
      </c>
      <c r="C13" s="286">
        <v>0.9</v>
      </c>
      <c r="D13" s="304"/>
    </row>
    <row r="14" spans="2:10" x14ac:dyDescent="0.2">
      <c r="B14" s="10" t="s">
        <v>74</v>
      </c>
      <c r="C14" s="286">
        <v>0.9</v>
      </c>
      <c r="D14" s="304"/>
    </row>
    <row r="15" spans="2:10" x14ac:dyDescent="0.2">
      <c r="B15" s="10" t="s">
        <v>75</v>
      </c>
      <c r="C15" s="286">
        <v>1.3</v>
      </c>
      <c r="D15" s="304"/>
    </row>
    <row r="16" spans="2:10" x14ac:dyDescent="0.2">
      <c r="B16" s="10" t="s">
        <v>86</v>
      </c>
      <c r="C16" s="286">
        <v>1.3</v>
      </c>
      <c r="D16" s="304"/>
    </row>
    <row r="17" spans="1:10" x14ac:dyDescent="0.2">
      <c r="B17" s="10" t="s">
        <v>87</v>
      </c>
      <c r="C17" s="286">
        <v>1.3</v>
      </c>
      <c r="D17" s="304"/>
    </row>
    <row r="18" spans="1:10" x14ac:dyDescent="0.2">
      <c r="B18" s="11" t="s">
        <v>88</v>
      </c>
      <c r="C18" s="287">
        <v>1.3</v>
      </c>
      <c r="D18" s="304"/>
    </row>
    <row r="19" spans="1:10" s="304" customFormat="1" x14ac:dyDescent="0.2">
      <c r="B19" s="15"/>
      <c r="C19" s="16"/>
      <c r="H19" s="306"/>
      <c r="I19" s="306"/>
    </row>
    <row r="22" spans="1:10" ht="44.25" customHeight="1" x14ac:dyDescent="0.55000000000000004">
      <c r="A22" s="319"/>
      <c r="B22" s="320" t="s">
        <v>278</v>
      </c>
      <c r="C22" s="320" t="s">
        <v>279</v>
      </c>
      <c r="D22" s="320" t="s">
        <v>275</v>
      </c>
      <c r="E22" s="320" t="s">
        <v>280</v>
      </c>
      <c r="F22" s="321" t="s">
        <v>395</v>
      </c>
      <c r="G22" s="321" t="s">
        <v>111</v>
      </c>
      <c r="H22" s="322" t="s">
        <v>282</v>
      </c>
      <c r="I22" s="322" t="s">
        <v>283</v>
      </c>
      <c r="J22" s="321" t="s">
        <v>285</v>
      </c>
    </row>
    <row r="23" spans="1:10" ht="63.75" x14ac:dyDescent="0.2">
      <c r="B23" s="791" t="s">
        <v>56</v>
      </c>
      <c r="C23" s="288" t="s">
        <v>483</v>
      </c>
      <c r="D23" s="290">
        <v>750000</v>
      </c>
      <c r="E23" s="289" t="s">
        <v>96</v>
      </c>
      <c r="F23" s="290">
        <v>3000</v>
      </c>
      <c r="G23" s="291">
        <f>D23/F23</f>
        <v>250</v>
      </c>
      <c r="H23" s="296" t="s">
        <v>103</v>
      </c>
      <c r="I23" s="296" t="s">
        <v>103</v>
      </c>
      <c r="J23" s="331"/>
    </row>
    <row r="24" spans="1:10" ht="63.75" x14ac:dyDescent="0.2">
      <c r="B24" s="791" t="s">
        <v>56</v>
      </c>
      <c r="C24" s="288" t="s">
        <v>484</v>
      </c>
      <c r="D24" s="290">
        <v>450000</v>
      </c>
      <c r="E24" s="289" t="s">
        <v>96</v>
      </c>
      <c r="F24" s="290">
        <v>1500</v>
      </c>
      <c r="G24" s="291">
        <f>D24/F24</f>
        <v>300</v>
      </c>
      <c r="H24" s="296" t="s">
        <v>103</v>
      </c>
      <c r="I24" s="296" t="s">
        <v>103</v>
      </c>
      <c r="J24" s="331"/>
    </row>
    <row r="25" spans="1:10" ht="63.75" x14ac:dyDescent="0.2">
      <c r="B25" s="791" t="s">
        <v>56</v>
      </c>
      <c r="C25" s="288" t="s">
        <v>485</v>
      </c>
      <c r="D25" s="290">
        <v>400</v>
      </c>
      <c r="E25" s="289" t="s">
        <v>101</v>
      </c>
      <c r="F25" s="290">
        <v>1</v>
      </c>
      <c r="G25" s="291">
        <f>D25/F25</f>
        <v>400</v>
      </c>
      <c r="H25" s="296" t="s">
        <v>103</v>
      </c>
      <c r="I25" s="296">
        <v>0.15</v>
      </c>
      <c r="J25" s="331"/>
    </row>
    <row r="26" spans="1:10" x14ac:dyDescent="0.2">
      <c r="B26" s="323" t="s">
        <v>288</v>
      </c>
      <c r="C26" s="324"/>
      <c r="D26" s="325"/>
      <c r="E26" s="325"/>
      <c r="F26" s="325"/>
      <c r="G26" s="325"/>
      <c r="H26" s="326"/>
      <c r="I26" s="326"/>
      <c r="J26" s="327"/>
    </row>
    <row r="29" spans="1:10" x14ac:dyDescent="0.2">
      <c r="B29" s="6" t="s">
        <v>302</v>
      </c>
    </row>
    <row r="30" spans="1:10" ht="15" x14ac:dyDescent="0.2">
      <c r="A30" s="307"/>
      <c r="B30" s="913" t="s">
        <v>592</v>
      </c>
      <c r="C30" s="914"/>
      <c r="D30" s="915"/>
    </row>
    <row r="31" spans="1:10" x14ac:dyDescent="0.2">
      <c r="A31" s="308"/>
      <c r="B31" s="77" t="s">
        <v>419</v>
      </c>
      <c r="C31" s="78" t="s">
        <v>591</v>
      </c>
      <c r="D31" s="79"/>
    </row>
    <row r="32" spans="1:10" ht="15" x14ac:dyDescent="0.2">
      <c r="A32" s="307"/>
      <c r="B32" s="913" t="s">
        <v>304</v>
      </c>
      <c r="C32" s="914"/>
      <c r="D32" s="915"/>
    </row>
    <row r="33" spans="1:4" x14ac:dyDescent="0.2">
      <c r="A33" s="308"/>
      <c r="B33" s="77" t="s">
        <v>3</v>
      </c>
      <c r="C33" s="78">
        <v>0.3</v>
      </c>
      <c r="D33" s="79"/>
    </row>
    <row r="34" spans="1:4" ht="57" customHeight="1" x14ac:dyDescent="0.2">
      <c r="A34" s="308"/>
      <c r="B34" s="83" t="s">
        <v>562</v>
      </c>
      <c r="C34" s="84">
        <v>0.5</v>
      </c>
      <c r="D34" s="86"/>
    </row>
    <row r="35" spans="1:4" ht="15" x14ac:dyDescent="0.2">
      <c r="A35" s="307"/>
      <c r="B35" s="913" t="s">
        <v>301</v>
      </c>
      <c r="C35" s="914"/>
      <c r="D35" s="915"/>
    </row>
    <row r="36" spans="1:4" x14ac:dyDescent="0.2">
      <c r="A36" s="308"/>
      <c r="B36" s="80" t="s">
        <v>137</v>
      </c>
      <c r="C36" s="81">
        <v>0</v>
      </c>
      <c r="D36" s="82"/>
    </row>
    <row r="37" spans="1:4" x14ac:dyDescent="0.2">
      <c r="A37" s="308"/>
      <c r="B37" s="80" t="s">
        <v>11</v>
      </c>
      <c r="C37" s="81">
        <v>0</v>
      </c>
      <c r="D37" s="82"/>
    </row>
    <row r="38" spans="1:4" x14ac:dyDescent="0.2">
      <c r="A38" s="308"/>
      <c r="B38" s="83" t="s">
        <v>34</v>
      </c>
      <c r="C38" s="84">
        <v>0</v>
      </c>
      <c r="D38" s="86"/>
    </row>
  </sheetData>
  <sheetProtection password="CF18" sheet="1" objects="1"/>
  <mergeCells count="3">
    <mergeCell ref="B35:D35"/>
    <mergeCell ref="B30:D30"/>
    <mergeCell ref="B32:D32"/>
  </mergeCells>
  <phoneticPr fontId="2" type="noConversion"/>
  <conditionalFormatting sqref="B23:J25">
    <cfRule type="expression" dxfId="24" priority="1" stopIfTrue="1">
      <formula>AND(COLUMN()=COLUMN($B23),$B23=OFFSET($B23,-1,0))</formula>
    </cfRule>
    <cfRule type="expression" dxfId="23" priority="2" stopIfTrue="1">
      <formula>$B23&lt;&gt;OFFSET($B23,-1,0)</formula>
    </cfRule>
  </conditionalFormatting>
  <dataValidations count="1">
    <dataValidation type="list" allowBlank="1" showInputMessage="1" showErrorMessage="1" sqref="E23:E25">
      <formula1>typeIndexSm</formula1>
    </dataValidation>
  </dataValidations>
  <hyperlinks>
    <hyperlink ref="D2" location="'Медиа-Заявка'!R244C3" tooltip="Вернуться на медиа-заявку" display="'Медиа-Заявка'!R244C3"/>
  </hyperlinks>
  <pageMargins left="0.75" right="0.75" top="1" bottom="1" header="0.5" footer="0.5"/>
  <pageSetup paperSize="9" scale="56" orientation="landscape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5">
    <tabColor rgb="FF92D050"/>
    <pageSetUpPr fitToPage="1"/>
  </sheetPr>
  <dimension ref="A1:J47"/>
  <sheetViews>
    <sheetView showGridLines="0" zoomScale="80" zoomScaleNormal="80" workbookViewId="0"/>
  </sheetViews>
  <sheetFormatPr defaultColWidth="9.140625" defaultRowHeight="12.75" x14ac:dyDescent="0.2"/>
  <cols>
    <col min="1" max="1" width="2.5703125" style="60" customWidth="1"/>
    <col min="2" max="2" width="33" style="60" customWidth="1"/>
    <col min="3" max="3" width="57.140625" style="60" customWidth="1"/>
    <col min="4" max="7" width="15.7109375" style="60" customWidth="1"/>
    <col min="8" max="9" width="15.7109375" style="253" customWidth="1"/>
    <col min="10" max="10" width="43.42578125" style="60" customWidth="1"/>
    <col min="11" max="11" width="10.28515625" style="60" customWidth="1"/>
    <col min="12" max="16384" width="9.140625" style="60"/>
  </cols>
  <sheetData>
    <row r="1" spans="2:10" x14ac:dyDescent="0.2">
      <c r="J1" s="253"/>
    </row>
    <row r="2" spans="2:10" ht="18" x14ac:dyDescent="0.2">
      <c r="B2" s="12" t="s">
        <v>118</v>
      </c>
      <c r="C2" s="12"/>
      <c r="D2" s="574" t="str">
        <f>СПЛИТ!$B$3</f>
        <v>Версия прайс-листа: 23.09.2013</v>
      </c>
    </row>
    <row r="3" spans="2:10" x14ac:dyDescent="0.2">
      <c r="B3" s="3" t="s">
        <v>13</v>
      </c>
      <c r="C3" s="4"/>
    </row>
    <row r="5" spans="2:10" x14ac:dyDescent="0.2">
      <c r="B5" s="6" t="s">
        <v>303</v>
      </c>
      <c r="C5" s="4"/>
      <c r="D5" s="4"/>
      <c r="E5" s="4"/>
    </row>
    <row r="6" spans="2:10" x14ac:dyDescent="0.2">
      <c r="B6" s="328" t="s">
        <v>89</v>
      </c>
      <c r="C6" s="328" t="s">
        <v>286</v>
      </c>
    </row>
    <row r="7" spans="2:10" x14ac:dyDescent="0.2">
      <c r="B7" s="9" t="s">
        <v>79</v>
      </c>
      <c r="C7" s="285">
        <v>0.8</v>
      </c>
      <c r="D7" s="304"/>
    </row>
    <row r="8" spans="2:10" x14ac:dyDescent="0.2">
      <c r="B8" s="10" t="s">
        <v>80</v>
      </c>
      <c r="C8" s="286">
        <v>0.9</v>
      </c>
      <c r="D8" s="304"/>
    </row>
    <row r="9" spans="2:10" x14ac:dyDescent="0.2">
      <c r="B9" s="10" t="s">
        <v>81</v>
      </c>
      <c r="C9" s="286">
        <v>1</v>
      </c>
      <c r="D9" s="304"/>
    </row>
    <row r="10" spans="2:10" x14ac:dyDescent="0.2">
      <c r="B10" s="10" t="s">
        <v>82</v>
      </c>
      <c r="C10" s="286">
        <v>1</v>
      </c>
      <c r="D10" s="304"/>
    </row>
    <row r="11" spans="2:10" x14ac:dyDescent="0.2">
      <c r="B11" s="10" t="s">
        <v>83</v>
      </c>
      <c r="C11" s="286">
        <v>1</v>
      </c>
      <c r="D11" s="304"/>
    </row>
    <row r="12" spans="2:10" x14ac:dyDescent="0.2">
      <c r="B12" s="10" t="s">
        <v>84</v>
      </c>
      <c r="C12" s="286">
        <v>1</v>
      </c>
      <c r="D12" s="304"/>
    </row>
    <row r="13" spans="2:10" x14ac:dyDescent="0.2">
      <c r="B13" s="10" t="s">
        <v>85</v>
      </c>
      <c r="C13" s="286">
        <v>0.9</v>
      </c>
      <c r="D13" s="304"/>
    </row>
    <row r="14" spans="2:10" x14ac:dyDescent="0.2">
      <c r="B14" s="10" t="s">
        <v>74</v>
      </c>
      <c r="C14" s="286">
        <v>0.9</v>
      </c>
      <c r="D14" s="304"/>
      <c r="E14" s="305"/>
    </row>
    <row r="15" spans="2:10" x14ac:dyDescent="0.2">
      <c r="B15" s="10" t="s">
        <v>75</v>
      </c>
      <c r="C15" s="286">
        <v>1.3</v>
      </c>
      <c r="D15" s="304"/>
      <c r="E15" s="305"/>
    </row>
    <row r="16" spans="2:10" x14ac:dyDescent="0.2">
      <c r="B16" s="10" t="s">
        <v>86</v>
      </c>
      <c r="C16" s="286">
        <v>1.3</v>
      </c>
      <c r="D16" s="304"/>
      <c r="E16" s="305"/>
    </row>
    <row r="17" spans="1:10" x14ac:dyDescent="0.2">
      <c r="B17" s="10" t="s">
        <v>87</v>
      </c>
      <c r="C17" s="286">
        <v>1.3</v>
      </c>
      <c r="D17" s="304"/>
      <c r="E17" s="305"/>
    </row>
    <row r="18" spans="1:10" x14ac:dyDescent="0.2">
      <c r="B18" s="11" t="s">
        <v>88</v>
      </c>
      <c r="C18" s="287">
        <v>1.3</v>
      </c>
      <c r="D18" s="304"/>
    </row>
    <row r="19" spans="1:10" s="304" customFormat="1" x14ac:dyDescent="0.2">
      <c r="B19" s="15"/>
      <c r="C19" s="16"/>
      <c r="H19" s="306"/>
      <c r="I19" s="306"/>
    </row>
    <row r="22" spans="1:10" ht="44.25" customHeight="1" x14ac:dyDescent="0.55000000000000004">
      <c r="A22" s="319"/>
      <c r="B22" s="320" t="s">
        <v>278</v>
      </c>
      <c r="C22" s="320" t="s">
        <v>279</v>
      </c>
      <c r="D22" s="320" t="s">
        <v>275</v>
      </c>
      <c r="E22" s="320" t="s">
        <v>280</v>
      </c>
      <c r="F22" s="321" t="s">
        <v>395</v>
      </c>
      <c r="G22" s="321" t="s">
        <v>111</v>
      </c>
      <c r="H22" s="322" t="s">
        <v>282</v>
      </c>
      <c r="I22" s="322" t="s">
        <v>283</v>
      </c>
      <c r="J22" s="321" t="s">
        <v>285</v>
      </c>
    </row>
    <row r="23" spans="1:10" ht="27" x14ac:dyDescent="0.35">
      <c r="A23" s="648"/>
      <c r="B23" s="298" t="s">
        <v>113</v>
      </c>
      <c r="C23" s="288" t="s">
        <v>695</v>
      </c>
      <c r="D23" s="290">
        <v>400000</v>
      </c>
      <c r="E23" s="289" t="s">
        <v>96</v>
      </c>
      <c r="F23" s="290">
        <v>800</v>
      </c>
      <c r="G23" s="291">
        <f t="shared" ref="G23:G26" si="0">D23/F23</f>
        <v>500</v>
      </c>
      <c r="H23" s="296">
        <v>0.15</v>
      </c>
      <c r="I23" s="296">
        <v>0.15</v>
      </c>
      <c r="J23" s="299" t="s">
        <v>350</v>
      </c>
    </row>
    <row r="24" spans="1:10" ht="27" x14ac:dyDescent="0.35">
      <c r="A24" s="648"/>
      <c r="B24" s="298" t="s">
        <v>113</v>
      </c>
      <c r="C24" s="288" t="s">
        <v>696</v>
      </c>
      <c r="D24" s="290">
        <v>630000</v>
      </c>
      <c r="E24" s="289" t="s">
        <v>96</v>
      </c>
      <c r="F24" s="290">
        <v>1500</v>
      </c>
      <c r="G24" s="291">
        <f t="shared" si="0"/>
        <v>420</v>
      </c>
      <c r="H24" s="296">
        <v>0.15</v>
      </c>
      <c r="I24" s="296">
        <v>0.15</v>
      </c>
      <c r="J24" s="299" t="s">
        <v>350</v>
      </c>
    </row>
    <row r="25" spans="1:10" ht="27" x14ac:dyDescent="0.35">
      <c r="A25" s="648"/>
      <c r="B25" s="298" t="s">
        <v>158</v>
      </c>
      <c r="C25" s="288" t="s">
        <v>697</v>
      </c>
      <c r="D25" s="290">
        <v>1500</v>
      </c>
      <c r="E25" s="289" t="s">
        <v>101</v>
      </c>
      <c r="F25" s="290">
        <v>1</v>
      </c>
      <c r="G25" s="291">
        <f t="shared" si="0"/>
        <v>1500</v>
      </c>
      <c r="H25" s="296" t="s">
        <v>103</v>
      </c>
      <c r="I25" s="296" t="s">
        <v>103</v>
      </c>
      <c r="J25" s="299" t="s">
        <v>698</v>
      </c>
    </row>
    <row r="26" spans="1:10" ht="27" x14ac:dyDescent="0.35">
      <c r="A26" s="648"/>
      <c r="B26" s="298" t="s">
        <v>582</v>
      </c>
      <c r="C26" s="288" t="s">
        <v>583</v>
      </c>
      <c r="D26" s="290">
        <v>600</v>
      </c>
      <c r="E26" s="289" t="s">
        <v>101</v>
      </c>
      <c r="F26" s="290">
        <v>1</v>
      </c>
      <c r="G26" s="291">
        <f t="shared" si="0"/>
        <v>600</v>
      </c>
      <c r="H26" s="296">
        <v>0.15</v>
      </c>
      <c r="I26" s="296">
        <v>0.15</v>
      </c>
      <c r="J26" s="299" t="s">
        <v>584</v>
      </c>
    </row>
    <row r="27" spans="1:10" x14ac:dyDescent="0.2">
      <c r="B27" s="323" t="s">
        <v>288</v>
      </c>
      <c r="C27" s="324"/>
      <c r="D27" s="325"/>
      <c r="E27" s="325"/>
      <c r="F27" s="325"/>
      <c r="G27" s="325"/>
      <c r="H27" s="326"/>
      <c r="I27" s="326"/>
      <c r="J27" s="327"/>
    </row>
    <row r="30" spans="1:10" x14ac:dyDescent="0.2">
      <c r="B30" s="6" t="s">
        <v>302</v>
      </c>
    </row>
    <row r="31" spans="1:10" ht="15" x14ac:dyDescent="0.2">
      <c r="A31" s="307"/>
      <c r="B31" s="913" t="s">
        <v>305</v>
      </c>
      <c r="C31" s="914"/>
      <c r="D31" s="915"/>
    </row>
    <row r="32" spans="1:10" x14ac:dyDescent="0.2">
      <c r="A32" s="308"/>
      <c r="B32" s="61" t="s">
        <v>12</v>
      </c>
      <c r="C32" s="62">
        <v>0.25</v>
      </c>
      <c r="D32" s="70"/>
    </row>
    <row r="33" spans="1:4" ht="15" x14ac:dyDescent="0.2">
      <c r="A33" s="307"/>
      <c r="B33" s="913" t="s">
        <v>304</v>
      </c>
      <c r="C33" s="914"/>
      <c r="D33" s="915"/>
    </row>
    <row r="34" spans="1:4" x14ac:dyDescent="0.2">
      <c r="A34" s="308"/>
      <c r="B34" s="77" t="s">
        <v>3</v>
      </c>
      <c r="C34" s="78">
        <v>0.3</v>
      </c>
      <c r="D34" s="79"/>
    </row>
    <row r="35" spans="1:4" ht="54" customHeight="1" x14ac:dyDescent="0.2">
      <c r="A35" s="308"/>
      <c r="B35" s="83" t="s">
        <v>562</v>
      </c>
      <c r="C35" s="84">
        <v>0.5</v>
      </c>
      <c r="D35" s="86"/>
    </row>
    <row r="36" spans="1:4" ht="15" x14ac:dyDescent="0.2">
      <c r="A36" s="307"/>
      <c r="B36" s="913" t="s">
        <v>301</v>
      </c>
      <c r="C36" s="914"/>
      <c r="D36" s="915"/>
    </row>
    <row r="37" spans="1:4" x14ac:dyDescent="0.2">
      <c r="A37" s="308"/>
      <c r="B37" s="77" t="s">
        <v>11</v>
      </c>
      <c r="C37" s="78">
        <v>0</v>
      </c>
      <c r="D37" s="79"/>
    </row>
    <row r="38" spans="1:4" x14ac:dyDescent="0.2">
      <c r="A38" s="308"/>
      <c r="B38" s="80" t="s">
        <v>138</v>
      </c>
      <c r="C38" s="81">
        <v>0</v>
      </c>
      <c r="D38" s="87"/>
    </row>
    <row r="39" spans="1:4" x14ac:dyDescent="0.2">
      <c r="A39" s="308"/>
      <c r="B39" s="83" t="s">
        <v>137</v>
      </c>
      <c r="C39" s="84">
        <v>0</v>
      </c>
      <c r="D39" s="85"/>
    </row>
    <row r="40" spans="1:4" ht="15" x14ac:dyDescent="0.2">
      <c r="A40" s="307"/>
      <c r="B40" s="913" t="s">
        <v>300</v>
      </c>
      <c r="C40" s="914"/>
      <c r="D40" s="915"/>
    </row>
    <row r="41" spans="1:4" x14ac:dyDescent="0.2">
      <c r="A41" s="308"/>
      <c r="B41" s="77" t="s">
        <v>139</v>
      </c>
      <c r="C41" s="78">
        <v>0</v>
      </c>
      <c r="D41" s="79"/>
    </row>
    <row r="42" spans="1:4" x14ac:dyDescent="0.2">
      <c r="A42" s="308"/>
      <c r="B42" s="80" t="s">
        <v>9</v>
      </c>
      <c r="C42" s="81">
        <v>0</v>
      </c>
      <c r="D42" s="82"/>
    </row>
    <row r="43" spans="1:4" x14ac:dyDescent="0.2">
      <c r="A43" s="308"/>
      <c r="B43" s="98" t="s">
        <v>35</v>
      </c>
      <c r="C43" s="99">
        <v>0.5</v>
      </c>
      <c r="D43" s="100"/>
    </row>
    <row r="44" spans="1:4" x14ac:dyDescent="0.2">
      <c r="A44" s="308"/>
      <c r="B44" s="98" t="s">
        <v>141</v>
      </c>
      <c r="C44" s="99">
        <v>0.5</v>
      </c>
      <c r="D44" s="100"/>
    </row>
    <row r="45" spans="1:4" x14ac:dyDescent="0.2">
      <c r="A45" s="308"/>
      <c r="B45" s="98" t="s">
        <v>44</v>
      </c>
      <c r="C45" s="99" t="s">
        <v>51</v>
      </c>
      <c r="D45" s="109"/>
    </row>
    <row r="46" spans="1:4" x14ac:dyDescent="0.2">
      <c r="A46" s="308"/>
      <c r="B46" s="98" t="s">
        <v>36</v>
      </c>
      <c r="C46" s="99" t="s">
        <v>51</v>
      </c>
      <c r="D46" s="109"/>
    </row>
    <row r="47" spans="1:4" x14ac:dyDescent="0.2">
      <c r="A47" s="308"/>
      <c r="B47" s="83" t="s">
        <v>143</v>
      </c>
      <c r="C47" s="84">
        <v>0</v>
      </c>
      <c r="D47" s="86"/>
    </row>
  </sheetData>
  <sheetProtection password="CF18" sheet="1" objects="1"/>
  <mergeCells count="4">
    <mergeCell ref="B36:D36"/>
    <mergeCell ref="B40:D40"/>
    <mergeCell ref="B33:D33"/>
    <mergeCell ref="B31:D31"/>
  </mergeCells>
  <phoneticPr fontId="2" type="noConversion"/>
  <conditionalFormatting sqref="B23:J26">
    <cfRule type="expression" dxfId="22" priority="1" stopIfTrue="1">
      <formula>AND(COLUMN()=COLUMN($B23),$B23=OFFSET($B23,-1,0))</formula>
    </cfRule>
    <cfRule type="expression" dxfId="21" priority="2" stopIfTrue="1">
      <formula>$B23&lt;&gt;OFFSET($B23,-1,0)</formula>
    </cfRule>
  </conditionalFormatting>
  <dataValidations count="1">
    <dataValidation type="list" allowBlank="1" showInputMessage="1" showErrorMessage="1" sqref="E23:E26">
      <formula1>typeIndexSm</formula1>
    </dataValidation>
  </dataValidations>
  <hyperlinks>
    <hyperlink ref="D2" location="'Медиа-Заявка'!R248C3" tooltip="Вернуться на медиа-заявку" display="'Медиа-Заявка'!R248C3"/>
  </hyperlinks>
  <pageMargins left="0.75" right="0.75" top="1" bottom="1" header="0.5" footer="0.5"/>
  <pageSetup paperSize="9" scale="50" orientation="landscape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8">
    <tabColor rgb="FF92D050"/>
    <pageSetUpPr fitToPage="1"/>
  </sheetPr>
  <dimension ref="A1:J44"/>
  <sheetViews>
    <sheetView showGridLines="0" zoomScale="80" zoomScaleNormal="80" workbookViewId="0"/>
  </sheetViews>
  <sheetFormatPr defaultColWidth="9.140625" defaultRowHeight="12.75" x14ac:dyDescent="0.2"/>
  <cols>
    <col min="1" max="1" width="2.5703125" style="60" customWidth="1"/>
    <col min="2" max="2" width="33" style="60" customWidth="1"/>
    <col min="3" max="3" width="57.140625" style="60" customWidth="1"/>
    <col min="4" max="7" width="15.7109375" style="60" customWidth="1"/>
    <col min="8" max="9" width="15.7109375" style="253" customWidth="1"/>
    <col min="10" max="10" width="43.42578125" style="60" customWidth="1"/>
    <col min="11" max="11" width="10.28515625" style="60" customWidth="1"/>
    <col min="12" max="16384" width="9.140625" style="60"/>
  </cols>
  <sheetData>
    <row r="1" spans="2:10" x14ac:dyDescent="0.2">
      <c r="J1" s="253"/>
    </row>
    <row r="2" spans="2:10" ht="18" x14ac:dyDescent="0.2">
      <c r="B2" s="12" t="s">
        <v>99</v>
      </c>
      <c r="C2" s="12"/>
      <c r="D2" s="574" t="str">
        <f>СПЛИТ!$B$3</f>
        <v>Версия прайс-листа: 23.09.2013</v>
      </c>
    </row>
    <row r="3" spans="2:10" x14ac:dyDescent="0.2">
      <c r="B3" s="309" t="s">
        <v>198</v>
      </c>
    </row>
    <row r="5" spans="2:10" x14ac:dyDescent="0.2">
      <c r="B5" s="6" t="s">
        <v>303</v>
      </c>
      <c r="C5" s="4"/>
      <c r="D5" s="4"/>
      <c r="E5" s="4"/>
    </row>
    <row r="6" spans="2:10" x14ac:dyDescent="0.2">
      <c r="B6" s="328" t="s">
        <v>89</v>
      </c>
      <c r="C6" s="328" t="s">
        <v>286</v>
      </c>
    </row>
    <row r="7" spans="2:10" x14ac:dyDescent="0.2">
      <c r="B7" s="9" t="s">
        <v>79</v>
      </c>
      <c r="C7" s="285">
        <v>0.8</v>
      </c>
      <c r="D7" s="304"/>
    </row>
    <row r="8" spans="2:10" x14ac:dyDescent="0.2">
      <c r="B8" s="10" t="s">
        <v>80</v>
      </c>
      <c r="C8" s="286">
        <v>0.9</v>
      </c>
      <c r="D8" s="304"/>
    </row>
    <row r="9" spans="2:10" x14ac:dyDescent="0.2">
      <c r="B9" s="10" t="s">
        <v>81</v>
      </c>
      <c r="C9" s="286">
        <v>1</v>
      </c>
      <c r="D9" s="304"/>
    </row>
    <row r="10" spans="2:10" x14ac:dyDescent="0.2">
      <c r="B10" s="10" t="s">
        <v>82</v>
      </c>
      <c r="C10" s="286">
        <v>1</v>
      </c>
      <c r="D10" s="304"/>
    </row>
    <row r="11" spans="2:10" x14ac:dyDescent="0.2">
      <c r="B11" s="10" t="s">
        <v>83</v>
      </c>
      <c r="C11" s="286">
        <v>1</v>
      </c>
      <c r="D11" s="304"/>
    </row>
    <row r="12" spans="2:10" x14ac:dyDescent="0.2">
      <c r="B12" s="10" t="s">
        <v>84</v>
      </c>
      <c r="C12" s="286">
        <v>1</v>
      </c>
      <c r="D12" s="304"/>
    </row>
    <row r="13" spans="2:10" x14ac:dyDescent="0.2">
      <c r="B13" s="10" t="s">
        <v>85</v>
      </c>
      <c r="C13" s="286">
        <v>0.9</v>
      </c>
      <c r="D13" s="304"/>
    </row>
    <row r="14" spans="2:10" x14ac:dyDescent="0.2">
      <c r="B14" s="10" t="s">
        <v>74</v>
      </c>
      <c r="C14" s="286">
        <v>0.9</v>
      </c>
      <c r="D14" s="304"/>
    </row>
    <row r="15" spans="2:10" x14ac:dyDescent="0.2">
      <c r="B15" s="10" t="s">
        <v>75</v>
      </c>
      <c r="C15" s="286">
        <v>1.3</v>
      </c>
      <c r="D15" s="304"/>
    </row>
    <row r="16" spans="2:10" x14ac:dyDescent="0.2">
      <c r="B16" s="10" t="s">
        <v>86</v>
      </c>
      <c r="C16" s="286">
        <v>1.3</v>
      </c>
      <c r="D16" s="304"/>
    </row>
    <row r="17" spans="1:10" x14ac:dyDescent="0.2">
      <c r="B17" s="10" t="s">
        <v>87</v>
      </c>
      <c r="C17" s="286">
        <v>1.3</v>
      </c>
      <c r="D17" s="304"/>
    </row>
    <row r="18" spans="1:10" x14ac:dyDescent="0.2">
      <c r="B18" s="11" t="s">
        <v>88</v>
      </c>
      <c r="C18" s="287">
        <v>1.3</v>
      </c>
      <c r="D18" s="304"/>
    </row>
    <row r="19" spans="1:10" s="304" customFormat="1" x14ac:dyDescent="0.2">
      <c r="B19" s="15"/>
      <c r="C19" s="16"/>
      <c r="H19" s="306"/>
      <c r="I19" s="306"/>
    </row>
    <row r="22" spans="1:10" ht="44.25" customHeight="1" x14ac:dyDescent="0.55000000000000004">
      <c r="A22" s="319"/>
      <c r="B22" s="320" t="s">
        <v>278</v>
      </c>
      <c r="C22" s="320" t="s">
        <v>279</v>
      </c>
      <c r="D22" s="320" t="s">
        <v>275</v>
      </c>
      <c r="E22" s="320" t="s">
        <v>280</v>
      </c>
      <c r="F22" s="321" t="s">
        <v>395</v>
      </c>
      <c r="G22" s="321" t="s">
        <v>111</v>
      </c>
      <c r="H22" s="322" t="s">
        <v>282</v>
      </c>
      <c r="I22" s="322" t="s">
        <v>283</v>
      </c>
      <c r="J22" s="321" t="s">
        <v>285</v>
      </c>
    </row>
    <row r="23" spans="1:10" x14ac:dyDescent="0.2">
      <c r="B23" s="298" t="s">
        <v>113</v>
      </c>
      <c r="C23" s="288" t="s">
        <v>117</v>
      </c>
      <c r="D23" s="290">
        <v>600</v>
      </c>
      <c r="E23" s="289" t="s">
        <v>101</v>
      </c>
      <c r="F23" s="290">
        <v>1</v>
      </c>
      <c r="G23" s="291">
        <f>D23/F23</f>
        <v>600</v>
      </c>
      <c r="H23" s="296" t="s">
        <v>103</v>
      </c>
      <c r="I23" s="296">
        <v>0</v>
      </c>
      <c r="J23" s="299"/>
    </row>
    <row r="24" spans="1:10" x14ac:dyDescent="0.2">
      <c r="B24" s="298" t="s">
        <v>113</v>
      </c>
      <c r="C24" s="288" t="s">
        <v>147</v>
      </c>
      <c r="D24" s="290">
        <v>360</v>
      </c>
      <c r="E24" s="289" t="s">
        <v>101</v>
      </c>
      <c r="F24" s="290">
        <v>1</v>
      </c>
      <c r="G24" s="291">
        <f>D24/F24</f>
        <v>360</v>
      </c>
      <c r="H24" s="296" t="s">
        <v>103</v>
      </c>
      <c r="I24" s="296">
        <v>0</v>
      </c>
      <c r="J24" s="299"/>
    </row>
    <row r="25" spans="1:10" x14ac:dyDescent="0.2">
      <c r="B25" s="298" t="s">
        <v>113</v>
      </c>
      <c r="C25" s="288" t="s">
        <v>398</v>
      </c>
      <c r="D25" s="290">
        <v>1800</v>
      </c>
      <c r="E25" s="289" t="s">
        <v>101</v>
      </c>
      <c r="F25" s="290">
        <v>1</v>
      </c>
      <c r="G25" s="291">
        <f>D25/F25</f>
        <v>1800</v>
      </c>
      <c r="H25" s="296" t="s">
        <v>103</v>
      </c>
      <c r="I25" s="296" t="s">
        <v>136</v>
      </c>
      <c r="J25" s="331" t="s">
        <v>28</v>
      </c>
    </row>
    <row r="26" spans="1:10" x14ac:dyDescent="0.2">
      <c r="B26" s="323" t="s">
        <v>288</v>
      </c>
      <c r="C26" s="324"/>
      <c r="D26" s="325"/>
      <c r="E26" s="325"/>
      <c r="F26" s="325"/>
      <c r="G26" s="325"/>
      <c r="H26" s="326"/>
      <c r="I26" s="326"/>
      <c r="J26" s="327"/>
    </row>
    <row r="29" spans="1:10" x14ac:dyDescent="0.2">
      <c r="B29" s="6" t="s">
        <v>302</v>
      </c>
      <c r="C29" s="6"/>
    </row>
    <row r="30" spans="1:10" ht="15" x14ac:dyDescent="0.2">
      <c r="A30" s="307"/>
      <c r="B30" s="913" t="s">
        <v>304</v>
      </c>
      <c r="C30" s="914"/>
      <c r="D30" s="915"/>
    </row>
    <row r="31" spans="1:10" x14ac:dyDescent="0.2">
      <c r="A31" s="308"/>
      <c r="B31" s="77" t="s">
        <v>3</v>
      </c>
      <c r="C31" s="78">
        <v>0.3</v>
      </c>
      <c r="D31" s="79"/>
    </row>
    <row r="32" spans="1:10" ht="57" customHeight="1" x14ac:dyDescent="0.2">
      <c r="A32" s="308"/>
      <c r="B32" s="83" t="s">
        <v>562</v>
      </c>
      <c r="C32" s="84">
        <v>0.5</v>
      </c>
      <c r="D32" s="86"/>
    </row>
    <row r="33" spans="1:4" ht="15" x14ac:dyDescent="0.2">
      <c r="A33" s="307"/>
      <c r="B33" s="913" t="s">
        <v>301</v>
      </c>
      <c r="C33" s="914"/>
      <c r="D33" s="915"/>
    </row>
    <row r="34" spans="1:4" x14ac:dyDescent="0.2">
      <c r="A34" s="308"/>
      <c r="B34" s="80" t="s">
        <v>32</v>
      </c>
      <c r="C34" s="81">
        <v>0</v>
      </c>
      <c r="D34" s="82"/>
    </row>
    <row r="35" spans="1:4" x14ac:dyDescent="0.2">
      <c r="B35" s="80" t="s">
        <v>11</v>
      </c>
      <c r="C35" s="81">
        <v>0</v>
      </c>
      <c r="D35" s="82"/>
    </row>
    <row r="36" spans="1:4" x14ac:dyDescent="0.2">
      <c r="B36" s="80" t="s">
        <v>138</v>
      </c>
      <c r="C36" s="81">
        <v>0</v>
      </c>
      <c r="D36" s="82"/>
    </row>
    <row r="37" spans="1:4" ht="15" x14ac:dyDescent="0.2">
      <c r="A37" s="307"/>
      <c r="B37" s="913" t="s">
        <v>300</v>
      </c>
      <c r="C37" s="914"/>
      <c r="D37" s="915"/>
    </row>
    <row r="38" spans="1:4" x14ac:dyDescent="0.2">
      <c r="A38" s="308"/>
      <c r="B38" s="77" t="s">
        <v>10</v>
      </c>
      <c r="C38" s="78">
        <v>0</v>
      </c>
      <c r="D38" s="101"/>
    </row>
    <row r="39" spans="1:4" x14ac:dyDescent="0.2">
      <c r="A39" s="308"/>
      <c r="B39" s="98" t="s">
        <v>144</v>
      </c>
      <c r="C39" s="99">
        <v>0</v>
      </c>
      <c r="D39" s="100"/>
    </row>
    <row r="40" spans="1:4" x14ac:dyDescent="0.2">
      <c r="A40" s="308"/>
      <c r="B40" s="80" t="s">
        <v>48</v>
      </c>
      <c r="C40" s="81">
        <v>0</v>
      </c>
      <c r="D40" s="82"/>
    </row>
    <row r="41" spans="1:4" x14ac:dyDescent="0.2">
      <c r="A41" s="308"/>
      <c r="B41" s="98" t="s">
        <v>141</v>
      </c>
      <c r="C41" s="99">
        <v>0.5</v>
      </c>
      <c r="D41" s="100"/>
    </row>
    <row r="42" spans="1:4" x14ac:dyDescent="0.2">
      <c r="A42" s="308"/>
      <c r="B42" s="98" t="s">
        <v>36</v>
      </c>
      <c r="C42" s="99" t="s">
        <v>51</v>
      </c>
      <c r="D42" s="106"/>
    </row>
    <row r="43" spans="1:4" x14ac:dyDescent="0.2">
      <c r="A43" s="308"/>
      <c r="B43" s="80" t="s">
        <v>38</v>
      </c>
      <c r="C43" s="99">
        <v>0.5</v>
      </c>
      <c r="D43" s="82"/>
    </row>
    <row r="44" spans="1:4" x14ac:dyDescent="0.2">
      <c r="A44" s="308"/>
      <c r="B44" s="83" t="s">
        <v>140</v>
      </c>
      <c r="C44" s="84">
        <v>0.5</v>
      </c>
      <c r="D44" s="86"/>
    </row>
  </sheetData>
  <sheetProtection password="CF18" sheet="1" objects="1"/>
  <mergeCells count="3">
    <mergeCell ref="B33:D33"/>
    <mergeCell ref="B37:D37"/>
    <mergeCell ref="B30:D30"/>
  </mergeCells>
  <phoneticPr fontId="2" type="noConversion"/>
  <conditionalFormatting sqref="B23:J25">
    <cfRule type="expression" dxfId="20" priority="1" stopIfTrue="1">
      <formula>AND(COLUMN()=COLUMN($B23),$B23=OFFSET($B23,-1,0))</formula>
    </cfRule>
    <cfRule type="expression" dxfId="19" priority="2" stopIfTrue="1">
      <formula>$B23&lt;&gt;OFFSET($B23,-1,0)</formula>
    </cfRule>
  </conditionalFormatting>
  <dataValidations count="1">
    <dataValidation type="list" allowBlank="1" showInputMessage="1" showErrorMessage="1" sqref="E23:E25">
      <formula1>typeIndexSm</formula1>
    </dataValidation>
  </dataValidations>
  <hyperlinks>
    <hyperlink ref="D2" location="'Медиа-Заявка'!R253C3" tooltip="Вернуться на медиа-заявку" display="'Медиа-Заявка'!R253C3"/>
  </hyperlinks>
  <pageMargins left="0.75" right="0.75" top="1" bottom="1" header="0.5" footer="0.5"/>
  <pageSetup paperSize="9" scale="57" orientation="landscape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1">
    <tabColor rgb="FF92D050"/>
    <pageSetUpPr fitToPage="1"/>
  </sheetPr>
  <dimension ref="A1:J56"/>
  <sheetViews>
    <sheetView showGridLines="0" zoomScale="80" zoomScaleNormal="80" workbookViewId="0"/>
  </sheetViews>
  <sheetFormatPr defaultColWidth="9.140625" defaultRowHeight="12.75" x14ac:dyDescent="0.2"/>
  <cols>
    <col min="1" max="1" width="2.5703125" style="60" customWidth="1"/>
    <col min="2" max="2" width="33" style="60" customWidth="1"/>
    <col min="3" max="3" width="57.140625" style="60" customWidth="1"/>
    <col min="4" max="7" width="15.7109375" style="60" customWidth="1"/>
    <col min="8" max="9" width="15.7109375" style="253" customWidth="1"/>
    <col min="10" max="10" width="43.42578125" style="60" customWidth="1"/>
    <col min="11" max="11" width="10.28515625" style="60" customWidth="1"/>
    <col min="12" max="16384" width="9.140625" style="60"/>
  </cols>
  <sheetData>
    <row r="1" spans="2:10" x14ac:dyDescent="0.2">
      <c r="J1" s="253"/>
    </row>
    <row r="2" spans="2:10" ht="18" x14ac:dyDescent="0.2">
      <c r="B2" s="76" t="s">
        <v>863</v>
      </c>
      <c r="C2" s="12"/>
      <c r="D2" s="574" t="str">
        <f>СПЛИТ!$B$3</f>
        <v>Версия прайс-листа: 23.09.2013</v>
      </c>
    </row>
    <row r="3" spans="2:10" x14ac:dyDescent="0.2">
      <c r="B3" s="3" t="s">
        <v>198</v>
      </c>
      <c r="C3" s="4"/>
    </row>
    <row r="5" spans="2:10" x14ac:dyDescent="0.2">
      <c r="B5" s="6" t="s">
        <v>303</v>
      </c>
      <c r="C5" s="4"/>
      <c r="D5" s="4"/>
      <c r="E5" s="4"/>
    </row>
    <row r="6" spans="2:10" x14ac:dyDescent="0.2">
      <c r="B6" s="328" t="s">
        <v>89</v>
      </c>
      <c r="C6" s="328" t="s">
        <v>286</v>
      </c>
    </row>
    <row r="7" spans="2:10" x14ac:dyDescent="0.2">
      <c r="B7" s="9" t="s">
        <v>79</v>
      </c>
      <c r="C7" s="285">
        <v>0.8</v>
      </c>
      <c r="D7" s="304"/>
    </row>
    <row r="8" spans="2:10" x14ac:dyDescent="0.2">
      <c r="B8" s="10" t="s">
        <v>80</v>
      </c>
      <c r="C8" s="286">
        <v>0.9</v>
      </c>
      <c r="D8" s="304"/>
    </row>
    <row r="9" spans="2:10" x14ac:dyDescent="0.2">
      <c r="B9" s="10" t="s">
        <v>81</v>
      </c>
      <c r="C9" s="286">
        <v>1</v>
      </c>
      <c r="D9" s="304"/>
    </row>
    <row r="10" spans="2:10" x14ac:dyDescent="0.2">
      <c r="B10" s="10" t="s">
        <v>82</v>
      </c>
      <c r="C10" s="286">
        <v>1</v>
      </c>
      <c r="D10" s="304"/>
    </row>
    <row r="11" spans="2:10" x14ac:dyDescent="0.2">
      <c r="B11" s="10" t="s">
        <v>83</v>
      </c>
      <c r="C11" s="286">
        <v>1</v>
      </c>
      <c r="D11" s="304"/>
    </row>
    <row r="12" spans="2:10" x14ac:dyDescent="0.2">
      <c r="B12" s="10" t="s">
        <v>84</v>
      </c>
      <c r="C12" s="286">
        <v>1</v>
      </c>
      <c r="D12" s="304"/>
    </row>
    <row r="13" spans="2:10" x14ac:dyDescent="0.2">
      <c r="B13" s="10" t="s">
        <v>85</v>
      </c>
      <c r="C13" s="286">
        <v>0.9</v>
      </c>
      <c r="D13" s="304"/>
    </row>
    <row r="14" spans="2:10" x14ac:dyDescent="0.2">
      <c r="B14" s="10" t="s">
        <v>74</v>
      </c>
      <c r="C14" s="286">
        <v>0.9</v>
      </c>
      <c r="D14" s="304"/>
      <c r="E14" s="305"/>
    </row>
    <row r="15" spans="2:10" x14ac:dyDescent="0.2">
      <c r="B15" s="10" t="s">
        <v>75</v>
      </c>
      <c r="C15" s="286">
        <v>1.3</v>
      </c>
      <c r="D15" s="304"/>
      <c r="E15" s="305"/>
    </row>
    <row r="16" spans="2:10" x14ac:dyDescent="0.2">
      <c r="B16" s="10" t="s">
        <v>86</v>
      </c>
      <c r="C16" s="286">
        <v>1.3</v>
      </c>
      <c r="D16" s="304"/>
      <c r="E16" s="305"/>
    </row>
    <row r="17" spans="1:10" x14ac:dyDescent="0.2">
      <c r="B17" s="10" t="s">
        <v>87</v>
      </c>
      <c r="C17" s="286">
        <v>1.3</v>
      </c>
      <c r="D17" s="304"/>
      <c r="E17" s="305"/>
    </row>
    <row r="18" spans="1:10" x14ac:dyDescent="0.2">
      <c r="B18" s="11" t="s">
        <v>88</v>
      </c>
      <c r="C18" s="287">
        <v>1.3</v>
      </c>
      <c r="D18" s="304"/>
    </row>
    <row r="19" spans="1:10" s="304" customFormat="1" x14ac:dyDescent="0.2">
      <c r="B19" s="15"/>
      <c r="C19" s="16"/>
      <c r="H19" s="306"/>
      <c r="I19" s="306"/>
    </row>
    <row r="22" spans="1:10" ht="44.25" customHeight="1" x14ac:dyDescent="0.55000000000000004">
      <c r="A22" s="319"/>
      <c r="B22" s="320" t="s">
        <v>278</v>
      </c>
      <c r="C22" s="320" t="s">
        <v>279</v>
      </c>
      <c r="D22" s="320" t="s">
        <v>275</v>
      </c>
      <c r="E22" s="320" t="s">
        <v>280</v>
      </c>
      <c r="F22" s="321" t="s">
        <v>395</v>
      </c>
      <c r="G22" s="321" t="s">
        <v>111</v>
      </c>
      <c r="H22" s="322" t="s">
        <v>282</v>
      </c>
      <c r="I22" s="322" t="s">
        <v>283</v>
      </c>
      <c r="J22" s="321" t="s">
        <v>285</v>
      </c>
    </row>
    <row r="23" spans="1:10" x14ac:dyDescent="0.2">
      <c r="B23" s="298" t="s">
        <v>862</v>
      </c>
      <c r="C23" s="288" t="s">
        <v>864</v>
      </c>
      <c r="D23" s="290">
        <v>400</v>
      </c>
      <c r="E23" s="289" t="s">
        <v>101</v>
      </c>
      <c r="F23" s="290">
        <v>1</v>
      </c>
      <c r="G23" s="291">
        <f t="shared" ref="G23:G36" si="0">D23/F23</f>
        <v>400</v>
      </c>
      <c r="H23" s="296">
        <v>0.25</v>
      </c>
      <c r="I23" s="296">
        <v>0</v>
      </c>
      <c r="J23" s="299" t="s">
        <v>865</v>
      </c>
    </row>
    <row r="24" spans="1:10" x14ac:dyDescent="0.2">
      <c r="B24" s="298" t="s">
        <v>862</v>
      </c>
      <c r="C24" s="288" t="s">
        <v>940</v>
      </c>
      <c r="D24" s="290">
        <v>300000</v>
      </c>
      <c r="E24" s="289" t="s">
        <v>96</v>
      </c>
      <c r="F24" s="290">
        <v>1000</v>
      </c>
      <c r="G24" s="291">
        <f t="shared" si="0"/>
        <v>300</v>
      </c>
      <c r="H24" s="296" t="s">
        <v>103</v>
      </c>
      <c r="I24" s="296" t="s">
        <v>103</v>
      </c>
      <c r="J24" s="299" t="s">
        <v>943</v>
      </c>
    </row>
    <row r="25" spans="1:10" x14ac:dyDescent="0.2">
      <c r="B25" s="298" t="s">
        <v>862</v>
      </c>
      <c r="C25" s="288" t="s">
        <v>941</v>
      </c>
      <c r="D25" s="290">
        <v>375000</v>
      </c>
      <c r="E25" s="289" t="s">
        <v>96</v>
      </c>
      <c r="F25" s="290">
        <v>1500</v>
      </c>
      <c r="G25" s="291">
        <f t="shared" ref="G25" si="1">D25/F25</f>
        <v>250</v>
      </c>
      <c r="H25" s="296" t="s">
        <v>103</v>
      </c>
      <c r="I25" s="296" t="s">
        <v>103</v>
      </c>
      <c r="J25" s="299" t="s">
        <v>943</v>
      </c>
    </row>
    <row r="26" spans="1:10" x14ac:dyDescent="0.2">
      <c r="B26" s="298" t="s">
        <v>862</v>
      </c>
      <c r="C26" s="288" t="s">
        <v>866</v>
      </c>
      <c r="D26" s="290">
        <v>200</v>
      </c>
      <c r="E26" s="289" t="s">
        <v>101</v>
      </c>
      <c r="F26" s="290">
        <v>1</v>
      </c>
      <c r="G26" s="291">
        <f t="shared" ref="G26" si="2">D26/F26</f>
        <v>200</v>
      </c>
      <c r="H26" s="296">
        <v>0.25</v>
      </c>
      <c r="I26" s="296">
        <v>0</v>
      </c>
      <c r="J26" s="299" t="s">
        <v>867</v>
      </c>
    </row>
    <row r="27" spans="1:10" x14ac:dyDescent="0.2">
      <c r="B27" s="298" t="s">
        <v>862</v>
      </c>
      <c r="C27" s="288" t="s">
        <v>942</v>
      </c>
      <c r="D27" s="290">
        <v>150000</v>
      </c>
      <c r="E27" s="289" t="s">
        <v>96</v>
      </c>
      <c r="F27" s="290">
        <v>1500</v>
      </c>
      <c r="G27" s="291">
        <f t="shared" si="0"/>
        <v>100</v>
      </c>
      <c r="H27" s="296" t="s">
        <v>103</v>
      </c>
      <c r="I27" s="296" t="s">
        <v>103</v>
      </c>
      <c r="J27" s="299" t="s">
        <v>943</v>
      </c>
    </row>
    <row r="28" spans="1:10" x14ac:dyDescent="0.2">
      <c r="B28" s="298" t="s">
        <v>862</v>
      </c>
      <c r="C28" s="288" t="s">
        <v>868</v>
      </c>
      <c r="D28" s="290">
        <v>1200</v>
      </c>
      <c r="E28" s="289" t="s">
        <v>101</v>
      </c>
      <c r="F28" s="290">
        <v>1</v>
      </c>
      <c r="G28" s="291">
        <f t="shared" si="0"/>
        <v>1200</v>
      </c>
      <c r="H28" s="296">
        <v>0.25</v>
      </c>
      <c r="I28" s="296">
        <v>0</v>
      </c>
      <c r="J28" s="299" t="s">
        <v>943</v>
      </c>
    </row>
    <row r="29" spans="1:10" x14ac:dyDescent="0.2">
      <c r="B29" s="298" t="s">
        <v>862</v>
      </c>
      <c r="C29" s="288" t="s">
        <v>869</v>
      </c>
      <c r="D29" s="290">
        <v>1200</v>
      </c>
      <c r="E29" s="289" t="s">
        <v>101</v>
      </c>
      <c r="F29" s="290">
        <v>1</v>
      </c>
      <c r="G29" s="291">
        <f t="shared" si="0"/>
        <v>1200</v>
      </c>
      <c r="H29" s="296">
        <v>0.25</v>
      </c>
      <c r="I29" s="296">
        <v>0</v>
      </c>
      <c r="J29" s="299" t="s">
        <v>400</v>
      </c>
    </row>
    <row r="30" spans="1:10" x14ac:dyDescent="0.2">
      <c r="B30" s="298" t="s">
        <v>862</v>
      </c>
      <c r="C30" s="288" t="s">
        <v>870</v>
      </c>
      <c r="D30" s="290">
        <v>1500</v>
      </c>
      <c r="E30" s="289" t="s">
        <v>101</v>
      </c>
      <c r="F30" s="290">
        <v>1</v>
      </c>
      <c r="G30" s="291">
        <f t="shared" si="0"/>
        <v>1500</v>
      </c>
      <c r="H30" s="296">
        <v>0.25</v>
      </c>
      <c r="I30" s="296">
        <v>0</v>
      </c>
      <c r="J30" s="299"/>
    </row>
    <row r="31" spans="1:10" x14ac:dyDescent="0.2">
      <c r="B31" s="298" t="s">
        <v>944</v>
      </c>
      <c r="C31" s="288" t="s">
        <v>945</v>
      </c>
      <c r="D31" s="290">
        <v>200</v>
      </c>
      <c r="E31" s="289" t="s">
        <v>101</v>
      </c>
      <c r="F31" s="290">
        <v>1</v>
      </c>
      <c r="G31" s="291">
        <f t="shared" si="0"/>
        <v>200</v>
      </c>
      <c r="H31" s="296">
        <v>0.25</v>
      </c>
      <c r="I31" s="296">
        <v>0</v>
      </c>
      <c r="J31" s="299" t="s">
        <v>948</v>
      </c>
    </row>
    <row r="32" spans="1:10" x14ac:dyDescent="0.2">
      <c r="B32" s="298" t="s">
        <v>944</v>
      </c>
      <c r="C32" s="288" t="s">
        <v>946</v>
      </c>
      <c r="D32" s="290">
        <v>400</v>
      </c>
      <c r="E32" s="289" t="s">
        <v>101</v>
      </c>
      <c r="F32" s="290">
        <v>1</v>
      </c>
      <c r="G32" s="291">
        <f t="shared" si="0"/>
        <v>400</v>
      </c>
      <c r="H32" s="296">
        <v>0.25</v>
      </c>
      <c r="I32" s="296">
        <v>0</v>
      </c>
      <c r="J32" s="299" t="s">
        <v>948</v>
      </c>
    </row>
    <row r="33" spans="1:10" x14ac:dyDescent="0.2">
      <c r="B33" s="298" t="s">
        <v>944</v>
      </c>
      <c r="C33" s="288" t="s">
        <v>947</v>
      </c>
      <c r="D33" s="290">
        <v>1500</v>
      </c>
      <c r="E33" s="289" t="s">
        <v>101</v>
      </c>
      <c r="F33" s="290">
        <v>1</v>
      </c>
      <c r="G33" s="291">
        <f t="shared" si="0"/>
        <v>1500</v>
      </c>
      <c r="H33" s="296">
        <v>0.25</v>
      </c>
      <c r="I33" s="296">
        <v>0</v>
      </c>
      <c r="J33" s="299"/>
    </row>
    <row r="34" spans="1:10" x14ac:dyDescent="0.2">
      <c r="B34" s="298" t="s">
        <v>33</v>
      </c>
      <c r="C34" s="288" t="s">
        <v>217</v>
      </c>
      <c r="D34" s="290">
        <v>200</v>
      </c>
      <c r="E34" s="289" t="s">
        <v>101</v>
      </c>
      <c r="F34" s="290">
        <v>1</v>
      </c>
      <c r="G34" s="291">
        <f t="shared" si="0"/>
        <v>200</v>
      </c>
      <c r="H34" s="296">
        <v>0.25</v>
      </c>
      <c r="I34" s="296">
        <v>0</v>
      </c>
      <c r="J34" s="299" t="s">
        <v>216</v>
      </c>
    </row>
    <row r="35" spans="1:10" x14ac:dyDescent="0.2">
      <c r="B35" s="298" t="s">
        <v>33</v>
      </c>
      <c r="C35" s="288" t="s">
        <v>218</v>
      </c>
      <c r="D35" s="290">
        <v>400</v>
      </c>
      <c r="E35" s="289" t="s">
        <v>101</v>
      </c>
      <c r="F35" s="290">
        <v>1</v>
      </c>
      <c r="G35" s="291">
        <f t="shared" si="0"/>
        <v>400</v>
      </c>
      <c r="H35" s="296">
        <v>0.25</v>
      </c>
      <c r="I35" s="296">
        <v>0</v>
      </c>
      <c r="J35" s="299" t="s">
        <v>216</v>
      </c>
    </row>
    <row r="36" spans="1:10" x14ac:dyDescent="0.2">
      <c r="B36" s="298" t="s">
        <v>33</v>
      </c>
      <c r="C36" s="288" t="s">
        <v>219</v>
      </c>
      <c r="D36" s="290">
        <v>1500</v>
      </c>
      <c r="E36" s="289" t="s">
        <v>101</v>
      </c>
      <c r="F36" s="290">
        <v>1</v>
      </c>
      <c r="G36" s="291">
        <f t="shared" si="0"/>
        <v>1500</v>
      </c>
      <c r="H36" s="296">
        <v>0.25</v>
      </c>
      <c r="I36" s="296">
        <v>0</v>
      </c>
      <c r="J36" s="299"/>
    </row>
    <row r="37" spans="1:10" x14ac:dyDescent="0.2">
      <c r="B37" s="323" t="s">
        <v>288</v>
      </c>
      <c r="C37" s="324"/>
      <c r="D37" s="325"/>
      <c r="E37" s="325"/>
      <c r="F37" s="325"/>
      <c r="G37" s="325"/>
      <c r="H37" s="326"/>
      <c r="I37" s="326"/>
      <c r="J37" s="327"/>
    </row>
    <row r="40" spans="1:10" x14ac:dyDescent="0.2">
      <c r="B40" s="6" t="s">
        <v>302</v>
      </c>
    </row>
    <row r="41" spans="1:10" ht="15" x14ac:dyDescent="0.2">
      <c r="A41" s="307"/>
      <c r="B41" s="913" t="s">
        <v>305</v>
      </c>
      <c r="C41" s="914"/>
      <c r="D41" s="915"/>
    </row>
    <row r="42" spans="1:10" x14ac:dyDescent="0.2">
      <c r="A42" s="308"/>
      <c r="B42" s="340" t="s">
        <v>4</v>
      </c>
      <c r="C42" s="81">
        <v>0</v>
      </c>
      <c r="D42" s="82"/>
    </row>
    <row r="43" spans="1:10" x14ac:dyDescent="0.2">
      <c r="B43" s="80" t="s">
        <v>43</v>
      </c>
      <c r="C43" s="81">
        <v>0.15</v>
      </c>
      <c r="D43" s="91" t="s">
        <v>55</v>
      </c>
    </row>
    <row r="44" spans="1:10" ht="15" x14ac:dyDescent="0.2">
      <c r="A44" s="307"/>
      <c r="B44" s="913" t="s">
        <v>304</v>
      </c>
      <c r="C44" s="914"/>
      <c r="D44" s="915"/>
    </row>
    <row r="45" spans="1:10" x14ac:dyDescent="0.2">
      <c r="A45" s="308"/>
      <c r="B45" s="77" t="s">
        <v>3</v>
      </c>
      <c r="C45" s="78">
        <v>0.3</v>
      </c>
      <c r="D45" s="79"/>
    </row>
    <row r="46" spans="1:10" ht="54" customHeight="1" x14ac:dyDescent="0.2">
      <c r="A46" s="308"/>
      <c r="B46" s="83" t="s">
        <v>562</v>
      </c>
      <c r="C46" s="84">
        <v>0.5</v>
      </c>
      <c r="D46" s="86"/>
    </row>
    <row r="47" spans="1:10" ht="15" x14ac:dyDescent="0.2">
      <c r="A47" s="307"/>
      <c r="B47" s="913" t="s">
        <v>301</v>
      </c>
      <c r="C47" s="914"/>
      <c r="D47" s="915"/>
    </row>
    <row r="48" spans="1:10" x14ac:dyDescent="0.2">
      <c r="B48" s="80" t="s">
        <v>137</v>
      </c>
      <c r="C48" s="81">
        <v>0</v>
      </c>
      <c r="D48" s="82"/>
    </row>
    <row r="49" spans="1:4" x14ac:dyDescent="0.2">
      <c r="B49" s="83" t="s">
        <v>138</v>
      </c>
      <c r="C49" s="84">
        <v>0</v>
      </c>
      <c r="D49" s="86"/>
    </row>
    <row r="50" spans="1:4" ht="15" x14ac:dyDescent="0.2">
      <c r="A50" s="307"/>
      <c r="B50" s="913" t="s">
        <v>300</v>
      </c>
      <c r="C50" s="914"/>
      <c r="D50" s="915"/>
    </row>
    <row r="51" spans="1:4" x14ac:dyDescent="0.2">
      <c r="A51" s="308"/>
      <c r="B51" s="77" t="s">
        <v>139</v>
      </c>
      <c r="C51" s="78">
        <v>0</v>
      </c>
      <c r="D51" s="79"/>
    </row>
    <row r="52" spans="1:4" x14ac:dyDescent="0.2">
      <c r="A52" s="308"/>
      <c r="B52" s="80" t="s">
        <v>9</v>
      </c>
      <c r="C52" s="81">
        <v>0</v>
      </c>
      <c r="D52" s="82"/>
    </row>
    <row r="53" spans="1:4" x14ac:dyDescent="0.2">
      <c r="A53" s="308"/>
      <c r="B53" s="80" t="s">
        <v>141</v>
      </c>
      <c r="C53" s="81" t="s">
        <v>438</v>
      </c>
      <c r="D53" s="82"/>
    </row>
    <row r="54" spans="1:4" x14ac:dyDescent="0.2">
      <c r="A54" s="308"/>
      <c r="B54" s="80" t="s">
        <v>144</v>
      </c>
      <c r="C54" s="81">
        <v>0</v>
      </c>
      <c r="D54" s="82"/>
    </row>
    <row r="55" spans="1:4" x14ac:dyDescent="0.2">
      <c r="A55" s="308"/>
      <c r="B55" s="80" t="s">
        <v>35</v>
      </c>
      <c r="C55" s="81" t="s">
        <v>438</v>
      </c>
      <c r="D55" s="82"/>
    </row>
    <row r="56" spans="1:4" x14ac:dyDescent="0.2">
      <c r="A56" s="308"/>
      <c r="B56" s="83" t="s">
        <v>38</v>
      </c>
      <c r="C56" s="84" t="s">
        <v>438</v>
      </c>
      <c r="D56" s="86"/>
    </row>
  </sheetData>
  <sheetProtection password="CF18" sheet="1" objects="1"/>
  <mergeCells count="4">
    <mergeCell ref="B47:D47"/>
    <mergeCell ref="B50:D50"/>
    <mergeCell ref="B44:D44"/>
    <mergeCell ref="B41:D41"/>
  </mergeCells>
  <phoneticPr fontId="2" type="noConversion"/>
  <conditionalFormatting sqref="B23:J36">
    <cfRule type="expression" dxfId="18" priority="1" stopIfTrue="1">
      <formula>AND(COLUMN()=COLUMN($B23),$B23=OFFSET($B23,-1,0))</formula>
    </cfRule>
    <cfRule type="expression" dxfId="17" priority="2" stopIfTrue="1">
      <formula>$B23&lt;&gt;OFFSET($B23,-1,0)</formula>
    </cfRule>
  </conditionalFormatting>
  <dataValidations count="1">
    <dataValidation type="list" allowBlank="1" showInputMessage="1" showErrorMessage="1" sqref="E23:E36">
      <formula1>typeIndexSm</formula1>
    </dataValidation>
  </dataValidations>
  <hyperlinks>
    <hyperlink ref="D2" location="'Медиа-Заявка'!R257C3" tooltip="Вернуться на медиа-заявку" display="'Медиа-Заявка'!R257C3"/>
  </hyperlinks>
  <pageMargins left="0.75" right="0.75" top="1" bottom="1" header="0.5" footer="0.5"/>
  <pageSetup paperSize="9" scale="45" orientation="landscape" r:id="rId1"/>
  <headerFooter alignWithMargins="0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J48"/>
  <sheetViews>
    <sheetView showGridLines="0" zoomScale="80" zoomScaleNormal="80" workbookViewId="0"/>
  </sheetViews>
  <sheetFormatPr defaultColWidth="9.140625" defaultRowHeight="12.75" x14ac:dyDescent="0.2"/>
  <cols>
    <col min="1" max="1" width="2.5703125" style="60" customWidth="1"/>
    <col min="2" max="2" width="33" style="60" customWidth="1"/>
    <col min="3" max="3" width="57.140625" style="60" customWidth="1"/>
    <col min="4" max="7" width="15.7109375" style="60" customWidth="1"/>
    <col min="8" max="9" width="15.7109375" style="253" customWidth="1"/>
    <col min="10" max="10" width="43.42578125" style="60" customWidth="1"/>
    <col min="11" max="11" width="10.28515625" style="60" customWidth="1"/>
    <col min="12" max="16384" width="9.140625" style="60"/>
  </cols>
  <sheetData>
    <row r="1" spans="2:10" x14ac:dyDescent="0.2">
      <c r="J1" s="253"/>
    </row>
    <row r="2" spans="2:10" ht="18" x14ac:dyDescent="0.2">
      <c r="B2" s="76" t="s">
        <v>700</v>
      </c>
      <c r="C2" s="12"/>
      <c r="D2" s="574" t="str">
        <f>СПЛИТ!$B$3</f>
        <v>Версия прайс-листа: 23.09.2013</v>
      </c>
    </row>
    <row r="3" spans="2:10" x14ac:dyDescent="0.2">
      <c r="B3" s="3" t="s">
        <v>198</v>
      </c>
      <c r="C3" s="4"/>
    </row>
    <row r="5" spans="2:10" x14ac:dyDescent="0.2">
      <c r="B5" s="6" t="s">
        <v>303</v>
      </c>
      <c r="C5" s="4"/>
      <c r="D5" s="4"/>
      <c r="E5" s="4"/>
    </row>
    <row r="6" spans="2:10" x14ac:dyDescent="0.2">
      <c r="B6" s="328" t="s">
        <v>89</v>
      </c>
      <c r="C6" s="328" t="s">
        <v>286</v>
      </c>
    </row>
    <row r="7" spans="2:10" x14ac:dyDescent="0.2">
      <c r="B7" s="9" t="s">
        <v>79</v>
      </c>
      <c r="C7" s="285">
        <v>0.8</v>
      </c>
      <c r="D7" s="304"/>
    </row>
    <row r="8" spans="2:10" x14ac:dyDescent="0.2">
      <c r="B8" s="10" t="s">
        <v>80</v>
      </c>
      <c r="C8" s="286">
        <v>0.9</v>
      </c>
      <c r="D8" s="304"/>
    </row>
    <row r="9" spans="2:10" x14ac:dyDescent="0.2">
      <c r="B9" s="10" t="s">
        <v>81</v>
      </c>
      <c r="C9" s="286">
        <v>1</v>
      </c>
      <c r="D9" s="304"/>
    </row>
    <row r="10" spans="2:10" x14ac:dyDescent="0.2">
      <c r="B10" s="10" t="s">
        <v>82</v>
      </c>
      <c r="C10" s="286">
        <v>1</v>
      </c>
      <c r="D10" s="304"/>
    </row>
    <row r="11" spans="2:10" x14ac:dyDescent="0.2">
      <c r="B11" s="10" t="s">
        <v>83</v>
      </c>
      <c r="C11" s="286">
        <v>1</v>
      </c>
      <c r="D11" s="304"/>
    </row>
    <row r="12" spans="2:10" x14ac:dyDescent="0.2">
      <c r="B12" s="10" t="s">
        <v>84</v>
      </c>
      <c r="C12" s="286">
        <v>1</v>
      </c>
      <c r="D12" s="304"/>
    </row>
    <row r="13" spans="2:10" x14ac:dyDescent="0.2">
      <c r="B13" s="10" t="s">
        <v>85</v>
      </c>
      <c r="C13" s="286">
        <v>0.9</v>
      </c>
      <c r="D13" s="304"/>
    </row>
    <row r="14" spans="2:10" x14ac:dyDescent="0.2">
      <c r="B14" s="10" t="s">
        <v>74</v>
      </c>
      <c r="C14" s="286">
        <v>0.9</v>
      </c>
      <c r="D14" s="304"/>
      <c r="E14" s="305"/>
    </row>
    <row r="15" spans="2:10" x14ac:dyDescent="0.2">
      <c r="B15" s="10" t="s">
        <v>75</v>
      </c>
      <c r="C15" s="286">
        <v>1.3</v>
      </c>
      <c r="D15" s="304"/>
      <c r="E15" s="305"/>
    </row>
    <row r="16" spans="2:10" x14ac:dyDescent="0.2">
      <c r="B16" s="10" t="s">
        <v>86</v>
      </c>
      <c r="C16" s="286">
        <v>1.3</v>
      </c>
      <c r="D16" s="304"/>
      <c r="E16" s="305"/>
    </row>
    <row r="17" spans="1:10" x14ac:dyDescent="0.2">
      <c r="B17" s="10" t="s">
        <v>87</v>
      </c>
      <c r="C17" s="286">
        <v>1.3</v>
      </c>
      <c r="D17" s="304"/>
      <c r="E17" s="305"/>
    </row>
    <row r="18" spans="1:10" x14ac:dyDescent="0.2">
      <c r="B18" s="11" t="s">
        <v>88</v>
      </c>
      <c r="C18" s="287">
        <v>1.3</v>
      </c>
      <c r="D18" s="304"/>
    </row>
    <row r="19" spans="1:10" s="304" customFormat="1" x14ac:dyDescent="0.2">
      <c r="B19" s="15"/>
      <c r="C19" s="16"/>
      <c r="H19" s="306"/>
      <c r="I19" s="306"/>
    </row>
    <row r="22" spans="1:10" ht="44.25" customHeight="1" x14ac:dyDescent="0.55000000000000004">
      <c r="A22" s="319"/>
      <c r="B22" s="320" t="s">
        <v>278</v>
      </c>
      <c r="C22" s="320" t="s">
        <v>279</v>
      </c>
      <c r="D22" s="320" t="s">
        <v>275</v>
      </c>
      <c r="E22" s="320" t="s">
        <v>280</v>
      </c>
      <c r="F22" s="321" t="s">
        <v>395</v>
      </c>
      <c r="G22" s="321" t="s">
        <v>111</v>
      </c>
      <c r="H22" s="322" t="s">
        <v>282</v>
      </c>
      <c r="I22" s="322" t="s">
        <v>283</v>
      </c>
      <c r="J22" s="321" t="s">
        <v>285</v>
      </c>
    </row>
    <row r="23" spans="1:10" ht="25.5" x14ac:dyDescent="0.2">
      <c r="B23" s="298" t="s">
        <v>701</v>
      </c>
      <c r="C23" s="288" t="s">
        <v>702</v>
      </c>
      <c r="D23" s="290">
        <v>300</v>
      </c>
      <c r="E23" s="289" t="s">
        <v>101</v>
      </c>
      <c r="F23" s="290">
        <v>1</v>
      </c>
      <c r="G23" s="291">
        <f t="shared" ref="G23:G28" si="0">D23/F23</f>
        <v>300</v>
      </c>
      <c r="H23" s="296">
        <v>0.25</v>
      </c>
      <c r="I23" s="296">
        <v>0</v>
      </c>
      <c r="J23" s="299" t="s">
        <v>704</v>
      </c>
    </row>
    <row r="24" spans="1:10" ht="27" customHeight="1" x14ac:dyDescent="0.2">
      <c r="B24" s="298" t="s">
        <v>703</v>
      </c>
      <c r="C24" s="288" t="s">
        <v>213</v>
      </c>
      <c r="D24" s="290">
        <v>260000</v>
      </c>
      <c r="E24" s="289" t="s">
        <v>96</v>
      </c>
      <c r="F24" s="290">
        <v>1000</v>
      </c>
      <c r="G24" s="291">
        <f t="shared" si="0"/>
        <v>260</v>
      </c>
      <c r="H24" s="296" t="s">
        <v>103</v>
      </c>
      <c r="I24" s="296" t="s">
        <v>103</v>
      </c>
      <c r="J24" s="299" t="s">
        <v>703</v>
      </c>
    </row>
    <row r="25" spans="1:10" x14ac:dyDescent="0.2">
      <c r="B25" s="298" t="s">
        <v>701</v>
      </c>
      <c r="C25" s="288" t="s">
        <v>705</v>
      </c>
      <c r="D25" s="290">
        <v>460000</v>
      </c>
      <c r="E25" s="289" t="s">
        <v>96</v>
      </c>
      <c r="F25" s="290">
        <v>2000</v>
      </c>
      <c r="G25" s="291">
        <f t="shared" si="0"/>
        <v>230</v>
      </c>
      <c r="H25" s="296" t="s">
        <v>103</v>
      </c>
      <c r="I25" s="296" t="s">
        <v>103</v>
      </c>
      <c r="J25" s="299" t="s">
        <v>701</v>
      </c>
    </row>
    <row r="26" spans="1:10" ht="25.5" x14ac:dyDescent="0.2">
      <c r="B26" s="298" t="s">
        <v>701</v>
      </c>
      <c r="C26" s="288" t="s">
        <v>706</v>
      </c>
      <c r="D26" s="290">
        <v>200</v>
      </c>
      <c r="E26" s="289" t="s">
        <v>101</v>
      </c>
      <c r="F26" s="290">
        <v>1</v>
      </c>
      <c r="G26" s="291">
        <f t="shared" si="0"/>
        <v>200</v>
      </c>
      <c r="H26" s="296">
        <v>0.25</v>
      </c>
      <c r="I26" s="296">
        <v>0</v>
      </c>
      <c r="J26" s="299" t="s">
        <v>704</v>
      </c>
    </row>
    <row r="27" spans="1:10" ht="25.5" x14ac:dyDescent="0.2">
      <c r="B27" s="298" t="s">
        <v>703</v>
      </c>
      <c r="C27" s="288" t="s">
        <v>707</v>
      </c>
      <c r="D27" s="290">
        <v>200000</v>
      </c>
      <c r="E27" s="289" t="s">
        <v>96</v>
      </c>
      <c r="F27" s="290">
        <v>2000</v>
      </c>
      <c r="G27" s="291">
        <f t="shared" ref="G27" si="1">D27/F27</f>
        <v>100</v>
      </c>
      <c r="H27" s="296" t="s">
        <v>103</v>
      </c>
      <c r="I27" s="296" t="s">
        <v>103</v>
      </c>
      <c r="J27" s="299" t="s">
        <v>703</v>
      </c>
    </row>
    <row r="28" spans="1:10" ht="25.5" x14ac:dyDescent="0.2">
      <c r="B28" s="298" t="s">
        <v>701</v>
      </c>
      <c r="C28" s="288" t="s">
        <v>17</v>
      </c>
      <c r="D28" s="290">
        <v>1500</v>
      </c>
      <c r="E28" s="289" t="s">
        <v>101</v>
      </c>
      <c r="F28" s="290">
        <v>1</v>
      </c>
      <c r="G28" s="291">
        <f t="shared" si="0"/>
        <v>1500</v>
      </c>
      <c r="H28" s="296">
        <v>0.25</v>
      </c>
      <c r="I28" s="296">
        <v>0</v>
      </c>
      <c r="J28" s="299" t="s">
        <v>704</v>
      </c>
    </row>
    <row r="29" spans="1:10" x14ac:dyDescent="0.2">
      <c r="B29" s="323" t="s">
        <v>288</v>
      </c>
      <c r="C29" s="324"/>
      <c r="D29" s="325"/>
      <c r="E29" s="325"/>
      <c r="F29" s="325"/>
      <c r="G29" s="325"/>
      <c r="H29" s="326"/>
      <c r="I29" s="326"/>
      <c r="J29" s="327"/>
    </row>
    <row r="32" spans="1:10" x14ac:dyDescent="0.2">
      <c r="B32" s="6" t="s">
        <v>302</v>
      </c>
    </row>
    <row r="33" spans="1:4" ht="15" x14ac:dyDescent="0.2">
      <c r="A33" s="307"/>
      <c r="B33" s="913" t="s">
        <v>305</v>
      </c>
      <c r="C33" s="914"/>
      <c r="D33" s="915"/>
    </row>
    <row r="34" spans="1:4" x14ac:dyDescent="0.2">
      <c r="A34" s="308"/>
      <c r="B34" s="340" t="s">
        <v>4</v>
      </c>
      <c r="C34" s="81">
        <v>0</v>
      </c>
      <c r="D34" s="82"/>
    </row>
    <row r="35" spans="1:4" x14ac:dyDescent="0.2">
      <c r="B35" s="80" t="s">
        <v>43</v>
      </c>
      <c r="C35" s="81">
        <v>0.15</v>
      </c>
      <c r="D35" s="91" t="s">
        <v>55</v>
      </c>
    </row>
    <row r="36" spans="1:4" ht="15" x14ac:dyDescent="0.2">
      <c r="A36" s="307"/>
      <c r="B36" s="913" t="s">
        <v>304</v>
      </c>
      <c r="C36" s="914"/>
      <c r="D36" s="915"/>
    </row>
    <row r="37" spans="1:4" x14ac:dyDescent="0.2">
      <c r="A37" s="308"/>
      <c r="B37" s="77" t="s">
        <v>3</v>
      </c>
      <c r="C37" s="78">
        <v>0.3</v>
      </c>
      <c r="D37" s="79"/>
    </row>
    <row r="38" spans="1:4" ht="54" customHeight="1" x14ac:dyDescent="0.2">
      <c r="A38" s="308"/>
      <c r="B38" s="83" t="s">
        <v>562</v>
      </c>
      <c r="C38" s="84">
        <v>0.5</v>
      </c>
      <c r="D38" s="86"/>
    </row>
    <row r="39" spans="1:4" ht="15" x14ac:dyDescent="0.2">
      <c r="A39" s="307"/>
      <c r="B39" s="913" t="s">
        <v>301</v>
      </c>
      <c r="C39" s="914"/>
      <c r="D39" s="915"/>
    </row>
    <row r="40" spans="1:4" x14ac:dyDescent="0.2">
      <c r="B40" s="80" t="s">
        <v>137</v>
      </c>
      <c r="C40" s="81">
        <v>0</v>
      </c>
      <c r="D40" s="82"/>
    </row>
    <row r="41" spans="1:4" x14ac:dyDescent="0.2">
      <c r="B41" s="83" t="s">
        <v>138</v>
      </c>
      <c r="C41" s="84">
        <v>0</v>
      </c>
      <c r="D41" s="86"/>
    </row>
    <row r="42" spans="1:4" ht="15" x14ac:dyDescent="0.2">
      <c r="A42" s="307"/>
      <c r="B42" s="913" t="s">
        <v>300</v>
      </c>
      <c r="C42" s="914"/>
      <c r="D42" s="915"/>
    </row>
    <row r="43" spans="1:4" x14ac:dyDescent="0.2">
      <c r="A43" s="308"/>
      <c r="B43" s="77" t="s">
        <v>139</v>
      </c>
      <c r="C43" s="78">
        <v>0</v>
      </c>
      <c r="D43" s="79"/>
    </row>
    <row r="44" spans="1:4" x14ac:dyDescent="0.2">
      <c r="A44" s="308"/>
      <c r="B44" s="80" t="s">
        <v>9</v>
      </c>
      <c r="C44" s="81">
        <v>0</v>
      </c>
      <c r="D44" s="82"/>
    </row>
    <row r="45" spans="1:4" x14ac:dyDescent="0.2">
      <c r="A45" s="308"/>
      <c r="B45" s="80" t="s">
        <v>141</v>
      </c>
      <c r="C45" s="81" t="s">
        <v>438</v>
      </c>
      <c r="D45" s="82"/>
    </row>
    <row r="46" spans="1:4" x14ac:dyDescent="0.2">
      <c r="A46" s="308"/>
      <c r="B46" s="80" t="s">
        <v>144</v>
      </c>
      <c r="C46" s="81">
        <v>0</v>
      </c>
      <c r="D46" s="82"/>
    </row>
    <row r="47" spans="1:4" x14ac:dyDescent="0.2">
      <c r="A47" s="308"/>
      <c r="B47" s="80" t="s">
        <v>35</v>
      </c>
      <c r="C47" s="81" t="s">
        <v>438</v>
      </c>
      <c r="D47" s="82"/>
    </row>
    <row r="48" spans="1:4" x14ac:dyDescent="0.2">
      <c r="A48" s="308"/>
      <c r="B48" s="83" t="s">
        <v>38</v>
      </c>
      <c r="C48" s="84" t="s">
        <v>438</v>
      </c>
      <c r="D48" s="86"/>
    </row>
  </sheetData>
  <sheetProtection password="CF18" sheet="1" objects="1"/>
  <mergeCells count="4">
    <mergeCell ref="B33:D33"/>
    <mergeCell ref="B36:D36"/>
    <mergeCell ref="B39:D39"/>
    <mergeCell ref="B42:D42"/>
  </mergeCells>
  <conditionalFormatting sqref="B23:J28">
    <cfRule type="expression" dxfId="16" priority="1" stopIfTrue="1">
      <formula>AND(COLUMN()=COLUMN($B23),$B23=OFFSET($B23,-1,0))</formula>
    </cfRule>
    <cfRule type="expression" dxfId="15" priority="2" stopIfTrue="1">
      <formula>$B23&lt;&gt;OFFSET($B23,-1,0)</formula>
    </cfRule>
  </conditionalFormatting>
  <dataValidations count="1">
    <dataValidation type="list" allowBlank="1" showInputMessage="1" showErrorMessage="1" sqref="E23:E28">
      <formula1>typeIndexSm</formula1>
    </dataValidation>
  </dataValidations>
  <hyperlinks>
    <hyperlink ref="D2" location="'Медиа-Заявка'!R272C3" tooltip="Вернуться на медиа-заявку" display="'Медиа-Заявка'!R272C3"/>
  </hyperlinks>
  <pageMargins left="0.75" right="0.75" top="1" bottom="1" header="0.5" footer="0.5"/>
  <pageSetup paperSize="9" scale="4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9">
    <tabColor theme="9" tint="-0.249977111117893"/>
    <pageSetUpPr fitToPage="1"/>
  </sheetPr>
  <dimension ref="A2:L50"/>
  <sheetViews>
    <sheetView showGridLines="0" zoomScale="80" zoomScaleNormal="80" workbookViewId="0"/>
  </sheetViews>
  <sheetFormatPr defaultRowHeight="11.25" x14ac:dyDescent="0.2"/>
  <cols>
    <col min="1" max="1" width="2.85546875" style="481" customWidth="1"/>
    <col min="2" max="2" width="40.140625" style="481" customWidth="1"/>
    <col min="3" max="3" width="17.5703125" style="481" customWidth="1"/>
    <col min="4" max="12" width="17.42578125" style="481" customWidth="1"/>
    <col min="13" max="16384" width="9.140625" style="481"/>
  </cols>
  <sheetData>
    <row r="2" spans="1:12" s="527" customFormat="1" ht="27" x14ac:dyDescent="0.2">
      <c r="A2" s="525"/>
      <c r="B2" s="526" t="s">
        <v>112</v>
      </c>
      <c r="F2" s="528"/>
    </row>
    <row r="3" spans="1:12" ht="20.25" x14ac:dyDescent="0.2">
      <c r="A3" s="529"/>
      <c r="B3" s="526"/>
      <c r="J3" s="906" t="s">
        <v>331</v>
      </c>
      <c r="K3" s="907"/>
      <c r="L3" s="908"/>
    </row>
    <row r="4" spans="1:12" ht="20.25" x14ac:dyDescent="0.2">
      <c r="A4" s="529"/>
      <c r="J4" s="530"/>
      <c r="K4" s="531" t="s">
        <v>152</v>
      </c>
      <c r="L4" s="532">
        <f>extraDelayZ</f>
        <v>0</v>
      </c>
    </row>
    <row r="5" spans="1:12" ht="20.25" x14ac:dyDescent="0.2">
      <c r="A5" s="529"/>
      <c r="B5" s="909" t="s">
        <v>329</v>
      </c>
      <c r="C5" s="910"/>
      <c r="E5" s="906" t="s">
        <v>392</v>
      </c>
      <c r="F5" s="907"/>
      <c r="G5" s="907"/>
      <c r="H5" s="908"/>
      <c r="J5" s="533"/>
      <c r="K5" s="534" t="s">
        <v>153</v>
      </c>
      <c r="L5" s="627">
        <f ca="1">$C$43</f>
        <v>0</v>
      </c>
    </row>
    <row r="6" spans="1:12" ht="20.25" x14ac:dyDescent="0.2">
      <c r="A6" s="529"/>
      <c r="B6" s="911" t="str">
        <f>splitAgency</f>
        <v>&lt; Название РА &gt;</v>
      </c>
      <c r="C6" s="912"/>
      <c r="E6" s="535"/>
      <c r="F6" s="536"/>
      <c r="G6" s="537" t="s">
        <v>260</v>
      </c>
      <c r="H6" s="638">
        <f ca="1">IF(ISERROR($H$43),0,$H$43)</f>
        <v>0</v>
      </c>
      <c r="J6" s="530"/>
      <c r="K6" s="531" t="s">
        <v>106</v>
      </c>
      <c r="L6" s="532">
        <f ca="1">$E$43</f>
        <v>0</v>
      </c>
    </row>
    <row r="7" spans="1:12" ht="20.25" x14ac:dyDescent="0.2">
      <c r="A7" s="529"/>
      <c r="B7" s="902" t="str">
        <f>splitClient</f>
        <v>&lt; Название рекламодателя&gt;</v>
      </c>
      <c r="C7" s="903"/>
      <c r="E7" s="530"/>
      <c r="F7" s="538"/>
      <c r="G7" s="531" t="s">
        <v>340</v>
      </c>
      <c r="H7" s="539">
        <f ca="1">IF(ISERROR($I$43),0,$I$43)</f>
        <v>0</v>
      </c>
      <c r="J7" s="530"/>
      <c r="K7" s="531" t="s">
        <v>262</v>
      </c>
      <c r="L7" s="532">
        <f ca="1">$F$43</f>
        <v>0</v>
      </c>
    </row>
    <row r="8" spans="1:12" ht="20.25" x14ac:dyDescent="0.2">
      <c r="A8" s="529"/>
      <c r="B8" s="902" t="str">
        <f>splitBrendName</f>
        <v>&lt; Название бренда &gt;</v>
      </c>
      <c r="C8" s="903"/>
      <c r="E8" s="530"/>
      <c r="F8" s="538"/>
      <c r="G8" s="531" t="s">
        <v>274</v>
      </c>
      <c r="H8" s="539">
        <f ca="1">IF(ISERROR($K$43),0,$K$43)</f>
        <v>0</v>
      </c>
      <c r="J8" s="530"/>
      <c r="K8" s="531" t="s">
        <v>330</v>
      </c>
      <c r="L8" s="630">
        <f ca="1">$D$43</f>
        <v>0</v>
      </c>
    </row>
    <row r="9" spans="1:12" ht="20.25" x14ac:dyDescent="0.2">
      <c r="A9" s="529"/>
      <c r="B9" s="904" t="str">
        <f>CONCATENATE(IF(splitRkName&lt;&gt;"",splitRkName,"")," (",INDEX(months,monthStart)," - ",INDEX(months,monthFinish),")")</f>
        <v>&lt; Название РК &gt; (Январь - Декабрь)</v>
      </c>
      <c r="C9" s="905"/>
      <c r="E9" s="540"/>
      <c r="F9" s="541"/>
      <c r="G9" s="542" t="s">
        <v>261</v>
      </c>
      <c r="H9" s="543">
        <f ca="1">IF(ISERROR($L$43),0,$L$43)</f>
        <v>0</v>
      </c>
      <c r="J9" s="540"/>
      <c r="K9" s="542" t="s">
        <v>256</v>
      </c>
      <c r="L9" s="631">
        <f ca="1">$G$43</f>
        <v>0</v>
      </c>
    </row>
    <row r="10" spans="1:12" ht="20.25" x14ac:dyDescent="0.2">
      <c r="A10" s="529"/>
    </row>
    <row r="11" spans="1:12" s="527" customFormat="1" ht="15.75" customHeight="1" x14ac:dyDescent="0.2">
      <c r="B11" s="544"/>
      <c r="C11" s="481"/>
      <c r="D11" s="481"/>
      <c r="E11" s="481"/>
      <c r="F11" s="545"/>
      <c r="G11" s="481"/>
      <c r="H11" s="481"/>
      <c r="I11" s="481"/>
      <c r="J11" s="481"/>
      <c r="K11" s="481"/>
      <c r="L11" s="546" t="str">
        <f>currentVersion</f>
        <v>Версия прайс-листа: 23.09.2013</v>
      </c>
    </row>
    <row r="12" spans="1:12" ht="44.25" x14ac:dyDescent="0.2">
      <c r="A12" s="479"/>
      <c r="B12" s="547" t="s">
        <v>255</v>
      </c>
      <c r="C12" s="547" t="s">
        <v>346</v>
      </c>
      <c r="D12" s="547" t="s">
        <v>105</v>
      </c>
      <c r="E12" s="548" t="s">
        <v>106</v>
      </c>
      <c r="F12" s="547" t="s">
        <v>342</v>
      </c>
      <c r="G12" s="549" t="s">
        <v>327</v>
      </c>
      <c r="H12" s="547" t="s">
        <v>260</v>
      </c>
      <c r="I12" s="547" t="s">
        <v>340</v>
      </c>
      <c r="J12" s="547" t="s">
        <v>107</v>
      </c>
      <c r="K12" s="547" t="s">
        <v>341</v>
      </c>
      <c r="L12" s="547" t="s">
        <v>295</v>
      </c>
    </row>
    <row r="13" spans="1:12" ht="12.75" x14ac:dyDescent="0.2">
      <c r="B13" s="550" t="str">
        <f t="shared" ref="B13:B42" si="0">INDEX(indSiteX,ROW()-ROW($B$12)+1)</f>
        <v>Yandex.ru</v>
      </c>
      <c r="C13" s="628">
        <f t="shared" ref="C13:C42" ca="1" si="1">INDEX(indDiscConsZX,ROW()-ROW($B$12)+1)</f>
        <v>0</v>
      </c>
      <c r="D13" s="551">
        <f t="shared" ref="D13:D42" ca="1" si="2">INDEX(indDiscVZX,ROW()-ROW($B$12)+1)</f>
        <v>0</v>
      </c>
      <c r="E13" s="552">
        <f t="shared" ref="E13:E42" si="3">INDEX(indDiscAgencyX,ROW()-ROW($B$12)+1)</f>
        <v>0</v>
      </c>
      <c r="F13" s="553">
        <f t="shared" ref="F13:F42" ca="1" si="4">INDEX(indDiscGpZX,ROW()-ROW($B$12)+1)</f>
        <v>0</v>
      </c>
      <c r="G13" s="554">
        <f t="shared" ref="G13:G42" ca="1" si="5">INDEX(indDiscZX,ROW()-ROW($B$12)+1)</f>
        <v>0</v>
      </c>
      <c r="H13" s="556">
        <f t="shared" ref="H13:H42" ca="1" si="6">INDEX(indBudDiscZX,ROW()-ROW($B$12)+1)</f>
        <v>0</v>
      </c>
      <c r="I13" s="556">
        <f t="shared" ref="I13:I42" ca="1" si="7">$H13*(1-$G13)</f>
        <v>0</v>
      </c>
      <c r="J13" s="556">
        <f t="shared" ref="J13:J43" ca="1" si="8">IF(ISERROR($H13/$L13),0,$H13/$L13)</f>
        <v>0</v>
      </c>
      <c r="K13" s="556">
        <f t="shared" ref="K13:K43" ca="1" si="9">IF(ISERROR($I13/$L13),0,$I13/$L13)</f>
        <v>0</v>
      </c>
      <c r="L13" s="555">
        <f t="shared" ref="L13:L42" ca="1" si="10">INDEX(indRX,ROW()-ROW($B$12)+1)</f>
        <v>0</v>
      </c>
    </row>
    <row r="14" spans="1:12" s="486" customFormat="1" ht="12.75" x14ac:dyDescent="0.2">
      <c r="B14" s="557" t="str">
        <f t="shared" si="0"/>
        <v>ЯЗНАЮ</v>
      </c>
      <c r="C14" s="629">
        <f t="shared" si="1"/>
        <v>0</v>
      </c>
      <c r="D14" s="558">
        <f t="shared" ca="1" si="2"/>
        <v>0</v>
      </c>
      <c r="E14" s="559">
        <f t="shared" si="3"/>
        <v>0</v>
      </c>
      <c r="F14" s="560">
        <f t="shared" si="4"/>
        <v>0</v>
      </c>
      <c r="G14" s="561">
        <f t="shared" ca="1" si="5"/>
        <v>0</v>
      </c>
      <c r="H14" s="563">
        <f t="shared" ca="1" si="6"/>
        <v>0</v>
      </c>
      <c r="I14" s="563">
        <f t="shared" ca="1" si="7"/>
        <v>0</v>
      </c>
      <c r="J14" s="563">
        <f t="shared" ca="1" si="8"/>
        <v>0</v>
      </c>
      <c r="K14" s="563">
        <f t="shared" ca="1" si="9"/>
        <v>0</v>
      </c>
      <c r="L14" s="562">
        <f t="shared" ca="1" si="10"/>
        <v>0</v>
      </c>
    </row>
    <row r="15" spans="1:12" s="486" customFormat="1" ht="12.75" x14ac:dyDescent="0.2">
      <c r="B15" s="557" t="str">
        <f t="shared" si="0"/>
        <v>VK.com</v>
      </c>
      <c r="C15" s="629">
        <f t="shared" si="1"/>
        <v>0</v>
      </c>
      <c r="D15" s="558">
        <f t="shared" ca="1" si="2"/>
        <v>0</v>
      </c>
      <c r="E15" s="559">
        <f t="shared" si="3"/>
        <v>0</v>
      </c>
      <c r="F15" s="560">
        <f t="shared" si="4"/>
        <v>0</v>
      </c>
      <c r="G15" s="561">
        <f t="shared" ca="1" si="5"/>
        <v>0</v>
      </c>
      <c r="H15" s="563">
        <f t="shared" ca="1" si="6"/>
        <v>0</v>
      </c>
      <c r="I15" s="563">
        <f t="shared" ca="1" si="7"/>
        <v>0</v>
      </c>
      <c r="J15" s="563">
        <f t="shared" ca="1" si="8"/>
        <v>0</v>
      </c>
      <c r="K15" s="563">
        <f t="shared" ca="1" si="9"/>
        <v>0</v>
      </c>
      <c r="L15" s="562">
        <f t="shared" ca="1" si="10"/>
        <v>0</v>
      </c>
    </row>
    <row r="16" spans="1:12" ht="12.75" x14ac:dyDescent="0.2">
      <c r="B16" s="557" t="str">
        <f t="shared" si="0"/>
        <v>RBC.ru</v>
      </c>
      <c r="C16" s="629">
        <f t="shared" si="1"/>
        <v>0</v>
      </c>
      <c r="D16" s="558">
        <f t="shared" ca="1" si="2"/>
        <v>0</v>
      </c>
      <c r="E16" s="559">
        <f t="shared" si="3"/>
        <v>0</v>
      </c>
      <c r="F16" s="560">
        <f t="shared" si="4"/>
        <v>0</v>
      </c>
      <c r="G16" s="561">
        <f t="shared" ca="1" si="5"/>
        <v>0</v>
      </c>
      <c r="H16" s="563">
        <f t="shared" ca="1" si="6"/>
        <v>0</v>
      </c>
      <c r="I16" s="563">
        <f t="shared" ca="1" si="7"/>
        <v>0</v>
      </c>
      <c r="J16" s="563">
        <f t="shared" ca="1" si="8"/>
        <v>0</v>
      </c>
      <c r="K16" s="563">
        <f t="shared" ca="1" si="9"/>
        <v>0</v>
      </c>
      <c r="L16" s="562">
        <f t="shared" ca="1" si="10"/>
        <v>0</v>
      </c>
    </row>
    <row r="17" spans="2:12" ht="12.75" x14ac:dyDescent="0.2">
      <c r="B17" s="557" t="str">
        <f t="shared" si="0"/>
        <v>Afisha.ru</v>
      </c>
      <c r="C17" s="629">
        <f t="shared" si="1"/>
        <v>0</v>
      </c>
      <c r="D17" s="558">
        <f t="shared" ca="1" si="2"/>
        <v>0</v>
      </c>
      <c r="E17" s="559">
        <f t="shared" si="3"/>
        <v>0</v>
      </c>
      <c r="F17" s="560">
        <f t="shared" si="4"/>
        <v>0</v>
      </c>
      <c r="G17" s="561">
        <f t="shared" ca="1" si="5"/>
        <v>0</v>
      </c>
      <c r="H17" s="563">
        <f t="shared" ca="1" si="6"/>
        <v>0</v>
      </c>
      <c r="I17" s="563">
        <f t="shared" ca="1" si="7"/>
        <v>0</v>
      </c>
      <c r="J17" s="563">
        <f t="shared" ca="1" si="8"/>
        <v>0</v>
      </c>
      <c r="K17" s="563">
        <f t="shared" ca="1" si="9"/>
        <v>0</v>
      </c>
      <c r="L17" s="562">
        <f t="shared" ca="1" si="10"/>
        <v>0</v>
      </c>
    </row>
    <row r="18" spans="2:12" ht="12.75" x14ac:dyDescent="0.2">
      <c r="B18" s="557" t="str">
        <f t="shared" si="0"/>
        <v>Rusnovosti.ru</v>
      </c>
      <c r="C18" s="629">
        <f t="shared" si="1"/>
        <v>0</v>
      </c>
      <c r="D18" s="558">
        <f t="shared" ca="1" si="2"/>
        <v>0</v>
      </c>
      <c r="E18" s="559">
        <f t="shared" si="3"/>
        <v>0</v>
      </c>
      <c r="F18" s="560">
        <f t="shared" si="4"/>
        <v>0</v>
      </c>
      <c r="G18" s="561">
        <f t="shared" ca="1" si="5"/>
        <v>0</v>
      </c>
      <c r="H18" s="563">
        <f t="shared" ca="1" si="6"/>
        <v>0</v>
      </c>
      <c r="I18" s="563">
        <f t="shared" ca="1" si="7"/>
        <v>0</v>
      </c>
      <c r="J18" s="563">
        <f t="shared" ca="1" si="8"/>
        <v>0</v>
      </c>
      <c r="K18" s="563">
        <f t="shared" ca="1" si="9"/>
        <v>0</v>
      </c>
      <c r="L18" s="562">
        <f t="shared" ca="1" si="10"/>
        <v>0</v>
      </c>
    </row>
    <row r="19" spans="2:12" ht="12.75" x14ac:dyDescent="0.2">
      <c r="B19" s="557" t="str">
        <f t="shared" si="0"/>
        <v>Avito.ru</v>
      </c>
      <c r="C19" s="629">
        <f t="shared" si="1"/>
        <v>0</v>
      </c>
      <c r="D19" s="558">
        <f t="shared" ca="1" si="2"/>
        <v>0</v>
      </c>
      <c r="E19" s="559">
        <f t="shared" si="3"/>
        <v>0</v>
      </c>
      <c r="F19" s="560">
        <f t="shared" si="4"/>
        <v>0</v>
      </c>
      <c r="G19" s="561">
        <f t="shared" ca="1" si="5"/>
        <v>0</v>
      </c>
      <c r="H19" s="563">
        <f t="shared" ca="1" si="6"/>
        <v>0</v>
      </c>
      <c r="I19" s="563">
        <f t="shared" ca="1" si="7"/>
        <v>0</v>
      </c>
      <c r="J19" s="563">
        <f t="shared" ca="1" si="8"/>
        <v>0</v>
      </c>
      <c r="K19" s="563">
        <f t="shared" ca="1" si="9"/>
        <v>0</v>
      </c>
      <c r="L19" s="562">
        <f t="shared" ca="1" si="10"/>
        <v>0</v>
      </c>
    </row>
    <row r="20" spans="2:12" ht="12.75" x14ac:dyDescent="0.2">
      <c r="B20" s="557" t="str">
        <f t="shared" si="0"/>
        <v>Muz-tv.ru</v>
      </c>
      <c r="C20" s="629">
        <f t="shared" si="1"/>
        <v>0</v>
      </c>
      <c r="D20" s="558">
        <f t="shared" ca="1" si="2"/>
        <v>0</v>
      </c>
      <c r="E20" s="559">
        <f t="shared" si="3"/>
        <v>0</v>
      </c>
      <c r="F20" s="560">
        <f t="shared" si="4"/>
        <v>0</v>
      </c>
      <c r="G20" s="561">
        <f t="shared" ca="1" si="5"/>
        <v>0</v>
      </c>
      <c r="H20" s="563">
        <f t="shared" ca="1" si="6"/>
        <v>0</v>
      </c>
      <c r="I20" s="563">
        <f t="shared" ca="1" si="7"/>
        <v>0</v>
      </c>
      <c r="J20" s="563">
        <f t="shared" ca="1" si="8"/>
        <v>0</v>
      </c>
      <c r="K20" s="563">
        <f t="shared" ca="1" si="9"/>
        <v>0</v>
      </c>
      <c r="L20" s="562">
        <f t="shared" ca="1" si="10"/>
        <v>0</v>
      </c>
    </row>
    <row r="21" spans="2:12" ht="12.75" x14ac:dyDescent="0.2">
      <c r="B21" s="557" t="str">
        <f t="shared" si="0"/>
        <v>Motor.ru</v>
      </c>
      <c r="C21" s="629">
        <f t="shared" si="1"/>
        <v>0</v>
      </c>
      <c r="D21" s="558">
        <f t="shared" ca="1" si="2"/>
        <v>0</v>
      </c>
      <c r="E21" s="559">
        <f t="shared" si="3"/>
        <v>0</v>
      </c>
      <c r="F21" s="560">
        <f t="shared" si="4"/>
        <v>0</v>
      </c>
      <c r="G21" s="561">
        <f t="shared" ca="1" si="5"/>
        <v>0</v>
      </c>
      <c r="H21" s="563">
        <f t="shared" ca="1" si="6"/>
        <v>0</v>
      </c>
      <c r="I21" s="563">
        <f t="shared" ca="1" si="7"/>
        <v>0</v>
      </c>
      <c r="J21" s="563">
        <f t="shared" ca="1" si="8"/>
        <v>0</v>
      </c>
      <c r="K21" s="563">
        <f t="shared" ca="1" si="9"/>
        <v>0</v>
      </c>
      <c r="L21" s="562">
        <f t="shared" ca="1" si="10"/>
        <v>0</v>
      </c>
    </row>
    <row r="22" spans="2:12" ht="12.75" x14ac:dyDescent="0.2">
      <c r="B22" s="557" t="str">
        <f t="shared" si="0"/>
        <v>Kommersant.ru</v>
      </c>
      <c r="C22" s="629">
        <f t="shared" si="1"/>
        <v>0</v>
      </c>
      <c r="D22" s="558">
        <f t="shared" ca="1" si="2"/>
        <v>0</v>
      </c>
      <c r="E22" s="559">
        <f t="shared" si="3"/>
        <v>0</v>
      </c>
      <c r="F22" s="560">
        <f t="shared" si="4"/>
        <v>0</v>
      </c>
      <c r="G22" s="561">
        <f t="shared" ca="1" si="5"/>
        <v>0</v>
      </c>
      <c r="H22" s="563">
        <f t="shared" ca="1" si="6"/>
        <v>0</v>
      </c>
      <c r="I22" s="563">
        <f t="shared" ca="1" si="7"/>
        <v>0</v>
      </c>
      <c r="J22" s="563">
        <f t="shared" ca="1" si="8"/>
        <v>0</v>
      </c>
      <c r="K22" s="563">
        <f t="shared" ca="1" si="9"/>
        <v>0</v>
      </c>
      <c r="L22" s="562">
        <f t="shared" ca="1" si="10"/>
        <v>0</v>
      </c>
    </row>
    <row r="23" spans="2:12" ht="12.75" x14ac:dyDescent="0.2">
      <c r="B23" s="557" t="str">
        <f t="shared" si="0"/>
        <v>Newsru.com</v>
      </c>
      <c r="C23" s="629">
        <f t="shared" si="1"/>
        <v>0</v>
      </c>
      <c r="D23" s="558">
        <f t="shared" ca="1" si="2"/>
        <v>0</v>
      </c>
      <c r="E23" s="559">
        <f t="shared" si="3"/>
        <v>0</v>
      </c>
      <c r="F23" s="560">
        <f t="shared" si="4"/>
        <v>0</v>
      </c>
      <c r="G23" s="561">
        <f t="shared" ca="1" si="5"/>
        <v>0</v>
      </c>
      <c r="H23" s="563">
        <f t="shared" ca="1" si="6"/>
        <v>0</v>
      </c>
      <c r="I23" s="563">
        <f t="shared" ca="1" si="7"/>
        <v>0</v>
      </c>
      <c r="J23" s="563">
        <f t="shared" ca="1" si="8"/>
        <v>0</v>
      </c>
      <c r="K23" s="563">
        <f t="shared" ca="1" si="9"/>
        <v>0</v>
      </c>
      <c r="L23" s="562">
        <f t="shared" ca="1" si="10"/>
        <v>0</v>
      </c>
    </row>
    <row r="24" spans="2:12" ht="12.75" x14ac:dyDescent="0.2">
      <c r="B24" s="557" t="str">
        <f t="shared" si="0"/>
        <v>WMJ.ru</v>
      </c>
      <c r="C24" s="629">
        <f t="shared" si="1"/>
        <v>0</v>
      </c>
      <c r="D24" s="558">
        <f t="shared" ca="1" si="2"/>
        <v>0</v>
      </c>
      <c r="E24" s="559">
        <f t="shared" si="3"/>
        <v>0</v>
      </c>
      <c r="F24" s="560">
        <f t="shared" si="4"/>
        <v>0</v>
      </c>
      <c r="G24" s="561">
        <f t="shared" ca="1" si="5"/>
        <v>0</v>
      </c>
      <c r="H24" s="563">
        <f t="shared" ca="1" si="6"/>
        <v>0</v>
      </c>
      <c r="I24" s="563">
        <f t="shared" ca="1" si="7"/>
        <v>0</v>
      </c>
      <c r="J24" s="563">
        <f t="shared" ca="1" si="8"/>
        <v>0</v>
      </c>
      <c r="K24" s="563">
        <f t="shared" ca="1" si="9"/>
        <v>0</v>
      </c>
      <c r="L24" s="562">
        <f t="shared" ca="1" si="10"/>
        <v>0</v>
      </c>
    </row>
    <row r="25" spans="2:12" ht="12.75" x14ac:dyDescent="0.2">
      <c r="B25" s="557" t="str">
        <f t="shared" si="0"/>
        <v>Passion.ru</v>
      </c>
      <c r="C25" s="629">
        <f t="shared" si="1"/>
        <v>0</v>
      </c>
      <c r="D25" s="558">
        <f t="shared" ca="1" si="2"/>
        <v>0</v>
      </c>
      <c r="E25" s="559">
        <f t="shared" si="3"/>
        <v>0</v>
      </c>
      <c r="F25" s="560">
        <f t="shared" si="4"/>
        <v>0</v>
      </c>
      <c r="G25" s="561">
        <f t="shared" ca="1" si="5"/>
        <v>0</v>
      </c>
      <c r="H25" s="563">
        <f t="shared" ca="1" si="6"/>
        <v>0</v>
      </c>
      <c r="I25" s="563">
        <f t="shared" ca="1" si="7"/>
        <v>0</v>
      </c>
      <c r="J25" s="563">
        <f t="shared" ca="1" si="8"/>
        <v>0</v>
      </c>
      <c r="K25" s="563">
        <f t="shared" ca="1" si="9"/>
        <v>0</v>
      </c>
      <c r="L25" s="562">
        <f t="shared" ca="1" si="10"/>
        <v>0</v>
      </c>
    </row>
    <row r="26" spans="2:12" ht="12.75" x14ac:dyDescent="0.2">
      <c r="B26" s="557" t="str">
        <f t="shared" si="0"/>
        <v>Vesti.ru</v>
      </c>
      <c r="C26" s="629">
        <f t="shared" si="1"/>
        <v>0</v>
      </c>
      <c r="D26" s="558">
        <f t="shared" ca="1" si="2"/>
        <v>0</v>
      </c>
      <c r="E26" s="559">
        <f t="shared" si="3"/>
        <v>0</v>
      </c>
      <c r="F26" s="560">
        <f t="shared" si="4"/>
        <v>0</v>
      </c>
      <c r="G26" s="561">
        <f t="shared" ca="1" si="5"/>
        <v>0</v>
      </c>
      <c r="H26" s="563">
        <f t="shared" ca="1" si="6"/>
        <v>0</v>
      </c>
      <c r="I26" s="563">
        <f t="shared" ca="1" si="7"/>
        <v>0</v>
      </c>
      <c r="J26" s="563">
        <f t="shared" ca="1" si="8"/>
        <v>0</v>
      </c>
      <c r="K26" s="563">
        <f t="shared" ca="1" si="9"/>
        <v>0</v>
      </c>
      <c r="L26" s="562">
        <f t="shared" ca="1" si="10"/>
        <v>0</v>
      </c>
    </row>
    <row r="27" spans="2:12" ht="12.75" x14ac:dyDescent="0.2">
      <c r="B27" s="557" t="str">
        <f t="shared" si="0"/>
        <v>RIA.ru</v>
      </c>
      <c r="C27" s="629">
        <f t="shared" si="1"/>
        <v>0</v>
      </c>
      <c r="D27" s="558">
        <f t="shared" ca="1" si="2"/>
        <v>0</v>
      </c>
      <c r="E27" s="559">
        <f t="shared" si="3"/>
        <v>0</v>
      </c>
      <c r="F27" s="560">
        <f t="shared" si="4"/>
        <v>0</v>
      </c>
      <c r="G27" s="561">
        <f t="shared" ca="1" si="5"/>
        <v>0</v>
      </c>
      <c r="H27" s="563">
        <f t="shared" ca="1" si="6"/>
        <v>0</v>
      </c>
      <c r="I27" s="563">
        <f t="shared" ca="1" si="7"/>
        <v>0</v>
      </c>
      <c r="J27" s="563">
        <f t="shared" ca="1" si="8"/>
        <v>0</v>
      </c>
      <c r="K27" s="563">
        <f t="shared" ca="1" si="9"/>
        <v>0</v>
      </c>
      <c r="L27" s="562">
        <f t="shared" ca="1" si="10"/>
        <v>0</v>
      </c>
    </row>
    <row r="28" spans="2:12" ht="12.75" x14ac:dyDescent="0.2">
      <c r="B28" s="557" t="str">
        <f t="shared" si="0"/>
        <v>Inopressa.ru</v>
      </c>
      <c r="C28" s="629">
        <f t="shared" si="1"/>
        <v>0</v>
      </c>
      <c r="D28" s="558">
        <f t="shared" ca="1" si="2"/>
        <v>0</v>
      </c>
      <c r="E28" s="559">
        <f t="shared" si="3"/>
        <v>0</v>
      </c>
      <c r="F28" s="560">
        <f t="shared" si="4"/>
        <v>0</v>
      </c>
      <c r="G28" s="561">
        <f t="shared" ca="1" si="5"/>
        <v>0</v>
      </c>
      <c r="H28" s="563">
        <f t="shared" ca="1" si="6"/>
        <v>0</v>
      </c>
      <c r="I28" s="563">
        <f t="shared" ca="1" si="7"/>
        <v>0</v>
      </c>
      <c r="J28" s="563">
        <f t="shared" ca="1" si="8"/>
        <v>0</v>
      </c>
      <c r="K28" s="563">
        <f t="shared" ca="1" si="9"/>
        <v>0</v>
      </c>
      <c r="L28" s="562">
        <f t="shared" ca="1" si="10"/>
        <v>0</v>
      </c>
    </row>
    <row r="29" spans="2:12" ht="12.75" x14ac:dyDescent="0.2">
      <c r="B29" s="557" t="str">
        <f t="shared" si="0"/>
        <v>Liveinternet.ru</v>
      </c>
      <c r="C29" s="629">
        <f t="shared" si="1"/>
        <v>0</v>
      </c>
      <c r="D29" s="558">
        <f t="shared" ca="1" si="2"/>
        <v>0</v>
      </c>
      <c r="E29" s="559">
        <f t="shared" si="3"/>
        <v>0</v>
      </c>
      <c r="F29" s="560">
        <f t="shared" si="4"/>
        <v>0</v>
      </c>
      <c r="G29" s="561">
        <f t="shared" ca="1" si="5"/>
        <v>0</v>
      </c>
      <c r="H29" s="563">
        <f t="shared" ca="1" si="6"/>
        <v>0</v>
      </c>
      <c r="I29" s="563">
        <f t="shared" ca="1" si="7"/>
        <v>0</v>
      </c>
      <c r="J29" s="563">
        <f t="shared" ca="1" si="8"/>
        <v>0</v>
      </c>
      <c r="K29" s="563">
        <f t="shared" ca="1" si="9"/>
        <v>0</v>
      </c>
      <c r="L29" s="562">
        <f t="shared" ca="1" si="10"/>
        <v>0</v>
      </c>
    </row>
    <row r="30" spans="2:12" ht="12.75" x14ac:dyDescent="0.2">
      <c r="B30" s="557" t="str">
        <f t="shared" si="0"/>
        <v>Sports.ru</v>
      </c>
      <c r="C30" s="629">
        <f t="shared" si="1"/>
        <v>0</v>
      </c>
      <c r="D30" s="558">
        <f t="shared" ca="1" si="2"/>
        <v>0</v>
      </c>
      <c r="E30" s="559">
        <f t="shared" si="3"/>
        <v>0</v>
      </c>
      <c r="F30" s="560">
        <f t="shared" si="4"/>
        <v>0</v>
      </c>
      <c r="G30" s="561">
        <f t="shared" ca="1" si="5"/>
        <v>0</v>
      </c>
      <c r="H30" s="563">
        <f t="shared" ca="1" si="6"/>
        <v>0</v>
      </c>
      <c r="I30" s="563">
        <f t="shared" ca="1" si="7"/>
        <v>0</v>
      </c>
      <c r="J30" s="563">
        <f t="shared" ca="1" si="8"/>
        <v>0</v>
      </c>
      <c r="K30" s="563">
        <f t="shared" ca="1" si="9"/>
        <v>0</v>
      </c>
      <c r="L30" s="562">
        <f t="shared" ca="1" si="10"/>
        <v>0</v>
      </c>
    </row>
    <row r="31" spans="2:12" ht="12.75" x14ac:dyDescent="0.2">
      <c r="B31" s="557" t="str">
        <f t="shared" si="0"/>
        <v>Auto.ru</v>
      </c>
      <c r="C31" s="629">
        <f t="shared" si="1"/>
        <v>0</v>
      </c>
      <c r="D31" s="558">
        <f t="shared" ca="1" si="2"/>
        <v>0</v>
      </c>
      <c r="E31" s="559">
        <f t="shared" si="3"/>
        <v>0</v>
      </c>
      <c r="F31" s="560">
        <f t="shared" si="4"/>
        <v>0</v>
      </c>
      <c r="G31" s="561">
        <f t="shared" ca="1" si="5"/>
        <v>0</v>
      </c>
      <c r="H31" s="563">
        <f t="shared" ca="1" si="6"/>
        <v>0</v>
      </c>
      <c r="I31" s="563">
        <f t="shared" ca="1" si="7"/>
        <v>0</v>
      </c>
      <c r="J31" s="563">
        <f t="shared" ca="1" si="8"/>
        <v>0</v>
      </c>
      <c r="K31" s="563">
        <f t="shared" ca="1" si="9"/>
        <v>0</v>
      </c>
      <c r="L31" s="562">
        <f t="shared" ca="1" si="10"/>
        <v>0</v>
      </c>
    </row>
    <row r="32" spans="2:12" ht="12.75" x14ac:dyDescent="0.2">
      <c r="B32" s="557" t="str">
        <f t="shared" si="0"/>
        <v>3dnews.ru</v>
      </c>
      <c r="C32" s="629">
        <f t="shared" si="1"/>
        <v>0</v>
      </c>
      <c r="D32" s="558">
        <f t="shared" ca="1" si="2"/>
        <v>0</v>
      </c>
      <c r="E32" s="559">
        <f t="shared" si="3"/>
        <v>0</v>
      </c>
      <c r="F32" s="560">
        <f t="shared" si="4"/>
        <v>0</v>
      </c>
      <c r="G32" s="561">
        <f t="shared" ca="1" si="5"/>
        <v>0</v>
      </c>
      <c r="H32" s="563">
        <f t="shared" ca="1" si="6"/>
        <v>0</v>
      </c>
      <c r="I32" s="563">
        <f t="shared" ca="1" si="7"/>
        <v>0</v>
      </c>
      <c r="J32" s="563">
        <f t="shared" ca="1" si="8"/>
        <v>0</v>
      </c>
      <c r="K32" s="563">
        <f t="shared" ca="1" si="9"/>
        <v>0</v>
      </c>
      <c r="L32" s="562">
        <f t="shared" ca="1" si="10"/>
        <v>0</v>
      </c>
    </row>
    <row r="33" spans="1:12" ht="12.75" x14ac:dyDescent="0.2">
      <c r="B33" s="557" t="str">
        <f t="shared" si="0"/>
        <v>Vokrugsveta.ru</v>
      </c>
      <c r="C33" s="629">
        <f t="shared" si="1"/>
        <v>0</v>
      </c>
      <c r="D33" s="558">
        <f t="shared" ca="1" si="2"/>
        <v>0</v>
      </c>
      <c r="E33" s="559">
        <f t="shared" si="3"/>
        <v>0</v>
      </c>
      <c r="F33" s="560">
        <f t="shared" si="4"/>
        <v>0</v>
      </c>
      <c r="G33" s="561">
        <f t="shared" ca="1" si="5"/>
        <v>0</v>
      </c>
      <c r="H33" s="563">
        <f t="shared" ca="1" si="6"/>
        <v>0</v>
      </c>
      <c r="I33" s="563">
        <f t="shared" ca="1" si="7"/>
        <v>0</v>
      </c>
      <c r="J33" s="563">
        <f t="shared" ca="1" si="8"/>
        <v>0</v>
      </c>
      <c r="K33" s="563">
        <f t="shared" ca="1" si="9"/>
        <v>0</v>
      </c>
      <c r="L33" s="562">
        <f t="shared" ca="1" si="10"/>
        <v>0</v>
      </c>
    </row>
    <row r="34" spans="1:12" ht="12.75" x14ac:dyDescent="0.2">
      <c r="B34" s="557" t="str">
        <f t="shared" si="0"/>
        <v>Friday.ru</v>
      </c>
      <c r="C34" s="629">
        <f t="shared" si="1"/>
        <v>0</v>
      </c>
      <c r="D34" s="558">
        <f t="shared" ca="1" si="2"/>
        <v>0</v>
      </c>
      <c r="E34" s="559">
        <f t="shared" si="3"/>
        <v>0</v>
      </c>
      <c r="F34" s="560">
        <f t="shared" si="4"/>
        <v>0</v>
      </c>
      <c r="G34" s="561">
        <f t="shared" ca="1" si="5"/>
        <v>0</v>
      </c>
      <c r="H34" s="563">
        <f t="shared" ca="1" si="6"/>
        <v>0</v>
      </c>
      <c r="I34" s="563">
        <f t="shared" ca="1" si="7"/>
        <v>0</v>
      </c>
      <c r="J34" s="563">
        <f t="shared" ca="1" si="8"/>
        <v>0</v>
      </c>
      <c r="K34" s="563">
        <f t="shared" ca="1" si="9"/>
        <v>0</v>
      </c>
      <c r="L34" s="562">
        <f t="shared" ca="1" si="10"/>
        <v>0</v>
      </c>
    </row>
    <row r="35" spans="1:12" ht="12.75" x14ac:dyDescent="0.2">
      <c r="B35" s="557" t="str">
        <f t="shared" si="0"/>
        <v>101.ru</v>
      </c>
      <c r="C35" s="629">
        <f t="shared" si="1"/>
        <v>0</v>
      </c>
      <c r="D35" s="558">
        <f t="shared" ca="1" si="2"/>
        <v>0</v>
      </c>
      <c r="E35" s="559">
        <f t="shared" si="3"/>
        <v>0</v>
      </c>
      <c r="F35" s="560">
        <f t="shared" si="4"/>
        <v>0</v>
      </c>
      <c r="G35" s="561">
        <f t="shared" ca="1" si="5"/>
        <v>0</v>
      </c>
      <c r="H35" s="563">
        <f t="shared" ca="1" si="6"/>
        <v>0</v>
      </c>
      <c r="I35" s="563">
        <f t="shared" ca="1" si="7"/>
        <v>0</v>
      </c>
      <c r="J35" s="563">
        <f t="shared" ca="1" si="8"/>
        <v>0</v>
      </c>
      <c r="K35" s="563">
        <f t="shared" ca="1" si="9"/>
        <v>0</v>
      </c>
      <c r="L35" s="562">
        <f t="shared" ca="1" si="10"/>
        <v>0</v>
      </c>
    </row>
    <row r="36" spans="1:12" ht="12.75" x14ac:dyDescent="0.2">
      <c r="B36" s="557" t="str">
        <f t="shared" si="0"/>
        <v>GoodHouse.ru</v>
      </c>
      <c r="C36" s="629">
        <f t="shared" si="1"/>
        <v>0</v>
      </c>
      <c r="D36" s="558">
        <f t="shared" ca="1" si="2"/>
        <v>0</v>
      </c>
      <c r="E36" s="559">
        <f t="shared" si="3"/>
        <v>0</v>
      </c>
      <c r="F36" s="560">
        <f t="shared" si="4"/>
        <v>0</v>
      </c>
      <c r="G36" s="561">
        <f t="shared" ca="1" si="5"/>
        <v>0</v>
      </c>
      <c r="H36" s="563">
        <f t="shared" ca="1" si="6"/>
        <v>0</v>
      </c>
      <c r="I36" s="563">
        <f t="shared" ca="1" si="7"/>
        <v>0</v>
      </c>
      <c r="J36" s="563">
        <f t="shared" ca="1" si="8"/>
        <v>0</v>
      </c>
      <c r="K36" s="563">
        <f t="shared" ca="1" si="9"/>
        <v>0</v>
      </c>
      <c r="L36" s="562">
        <f t="shared" ca="1" si="10"/>
        <v>0</v>
      </c>
    </row>
    <row r="37" spans="1:12" ht="12.75" x14ac:dyDescent="0.2">
      <c r="B37" s="557" t="str">
        <f t="shared" si="0"/>
        <v>Medportal.ru</v>
      </c>
      <c r="C37" s="629">
        <f t="shared" si="1"/>
        <v>0</v>
      </c>
      <c r="D37" s="558">
        <f t="shared" ca="1" si="2"/>
        <v>0</v>
      </c>
      <c r="E37" s="559">
        <f t="shared" si="3"/>
        <v>0</v>
      </c>
      <c r="F37" s="560">
        <f t="shared" si="4"/>
        <v>0</v>
      </c>
      <c r="G37" s="561">
        <f t="shared" ca="1" si="5"/>
        <v>0</v>
      </c>
      <c r="H37" s="563">
        <f t="shared" ca="1" si="6"/>
        <v>0</v>
      </c>
      <c r="I37" s="563">
        <f t="shared" ca="1" si="7"/>
        <v>0</v>
      </c>
      <c r="J37" s="563">
        <f t="shared" ca="1" si="8"/>
        <v>0</v>
      </c>
      <c r="K37" s="563">
        <f t="shared" ca="1" si="9"/>
        <v>0</v>
      </c>
      <c r="L37" s="562">
        <f t="shared" ca="1" si="10"/>
        <v>0</v>
      </c>
    </row>
    <row r="38" spans="1:12" ht="12.75" x14ac:dyDescent="0.2">
      <c r="B38" s="557" t="str">
        <f t="shared" si="0"/>
        <v>Tvidi.ru</v>
      </c>
      <c r="C38" s="629">
        <f t="shared" si="1"/>
        <v>0</v>
      </c>
      <c r="D38" s="558">
        <f t="shared" ca="1" si="2"/>
        <v>0</v>
      </c>
      <c r="E38" s="559">
        <f t="shared" si="3"/>
        <v>0</v>
      </c>
      <c r="F38" s="560">
        <f t="shared" si="4"/>
        <v>0</v>
      </c>
      <c r="G38" s="561">
        <f t="shared" ca="1" si="5"/>
        <v>0</v>
      </c>
      <c r="H38" s="563">
        <f t="shared" ca="1" si="6"/>
        <v>0</v>
      </c>
      <c r="I38" s="563">
        <f t="shared" ca="1" si="7"/>
        <v>0</v>
      </c>
      <c r="J38" s="563">
        <f t="shared" ca="1" si="8"/>
        <v>0</v>
      </c>
      <c r="K38" s="563">
        <f t="shared" ca="1" si="9"/>
        <v>0</v>
      </c>
      <c r="L38" s="562">
        <f t="shared" ca="1" si="10"/>
        <v>0</v>
      </c>
    </row>
    <row r="39" spans="1:12" ht="12.75" x14ac:dyDescent="0.2">
      <c r="B39" s="557" t="str">
        <f t="shared" si="0"/>
        <v>Disney.ru</v>
      </c>
      <c r="C39" s="629">
        <f t="shared" si="1"/>
        <v>0</v>
      </c>
      <c r="D39" s="558">
        <f t="shared" ca="1" si="2"/>
        <v>0</v>
      </c>
      <c r="E39" s="559">
        <f t="shared" si="3"/>
        <v>0</v>
      </c>
      <c r="F39" s="560">
        <f t="shared" si="4"/>
        <v>0</v>
      </c>
      <c r="G39" s="561">
        <f t="shared" ca="1" si="5"/>
        <v>0</v>
      </c>
      <c r="H39" s="563">
        <f t="shared" ca="1" si="6"/>
        <v>0</v>
      </c>
      <c r="I39" s="563">
        <f t="shared" ca="1" si="7"/>
        <v>0</v>
      </c>
      <c r="J39" s="563">
        <f t="shared" ca="1" si="8"/>
        <v>0</v>
      </c>
      <c r="K39" s="563">
        <f t="shared" ca="1" si="9"/>
        <v>0</v>
      </c>
      <c r="L39" s="562">
        <f t="shared" ca="1" si="10"/>
        <v>0</v>
      </c>
    </row>
    <row r="40" spans="1:12" ht="12.75" x14ac:dyDescent="0.2">
      <c r="B40" s="557" t="str">
        <f t="shared" si="0"/>
        <v>Echo.Msk.ru</v>
      </c>
      <c r="C40" s="629">
        <f t="shared" si="1"/>
        <v>0</v>
      </c>
      <c r="D40" s="558">
        <f t="shared" ca="1" si="2"/>
        <v>0</v>
      </c>
      <c r="E40" s="559">
        <f t="shared" si="3"/>
        <v>0</v>
      </c>
      <c r="F40" s="560">
        <f t="shared" si="4"/>
        <v>0</v>
      </c>
      <c r="G40" s="561">
        <f t="shared" ca="1" si="5"/>
        <v>0</v>
      </c>
      <c r="H40" s="563">
        <f t="shared" ca="1" si="6"/>
        <v>0</v>
      </c>
      <c r="I40" s="563">
        <f t="shared" ca="1" si="7"/>
        <v>0</v>
      </c>
      <c r="J40" s="563">
        <f t="shared" ca="1" si="8"/>
        <v>0</v>
      </c>
      <c r="K40" s="563">
        <f t="shared" ca="1" si="9"/>
        <v>0</v>
      </c>
      <c r="L40" s="562">
        <f t="shared" ca="1" si="10"/>
        <v>0</v>
      </c>
    </row>
    <row r="41" spans="1:12" ht="12.75" x14ac:dyDescent="0.2">
      <c r="B41" s="557" t="str">
        <f t="shared" si="0"/>
        <v>F1News.ru</v>
      </c>
      <c r="C41" s="629">
        <f t="shared" si="1"/>
        <v>0</v>
      </c>
      <c r="D41" s="558">
        <f t="shared" ca="1" si="2"/>
        <v>0</v>
      </c>
      <c r="E41" s="559">
        <f t="shared" si="3"/>
        <v>0</v>
      </c>
      <c r="F41" s="560">
        <f t="shared" si="4"/>
        <v>0</v>
      </c>
      <c r="G41" s="561">
        <f t="shared" ca="1" si="5"/>
        <v>0</v>
      </c>
      <c r="H41" s="563">
        <f t="shared" ca="1" si="6"/>
        <v>0</v>
      </c>
      <c r="I41" s="563">
        <f t="shared" ca="1" si="7"/>
        <v>0</v>
      </c>
      <c r="J41" s="563">
        <f t="shared" ca="1" si="8"/>
        <v>0</v>
      </c>
      <c r="K41" s="563">
        <f t="shared" ca="1" si="9"/>
        <v>0</v>
      </c>
      <c r="L41" s="562">
        <f t="shared" ca="1" si="10"/>
        <v>0</v>
      </c>
    </row>
    <row r="42" spans="1:12" ht="12.75" x14ac:dyDescent="0.2">
      <c r="B42" s="557" t="str">
        <f t="shared" si="0"/>
        <v>Видеосеть</v>
      </c>
      <c r="C42" s="629">
        <f t="shared" si="1"/>
        <v>0</v>
      </c>
      <c r="D42" s="558">
        <f t="shared" ca="1" si="2"/>
        <v>0</v>
      </c>
      <c r="E42" s="559">
        <f t="shared" si="3"/>
        <v>0</v>
      </c>
      <c r="F42" s="560">
        <f t="shared" si="4"/>
        <v>0</v>
      </c>
      <c r="G42" s="561">
        <f t="shared" ca="1" si="5"/>
        <v>0</v>
      </c>
      <c r="H42" s="563">
        <f t="shared" ca="1" si="6"/>
        <v>0</v>
      </c>
      <c r="I42" s="563">
        <f t="shared" ca="1" si="7"/>
        <v>0</v>
      </c>
      <c r="J42" s="563">
        <f t="shared" ca="1" si="8"/>
        <v>0</v>
      </c>
      <c r="K42" s="563">
        <f t="shared" ca="1" si="9"/>
        <v>0</v>
      </c>
      <c r="L42" s="562">
        <f t="shared" ca="1" si="10"/>
        <v>0</v>
      </c>
    </row>
    <row r="43" spans="1:12" ht="44.25" x14ac:dyDescent="0.2">
      <c r="A43" s="479"/>
      <c r="B43" s="564" t="s">
        <v>263</v>
      </c>
      <c r="C43" s="565">
        <f ca="1">'##'!$S$51</f>
        <v>0</v>
      </c>
      <c r="D43" s="565">
        <f ca="1">'##'!L51</f>
        <v>0</v>
      </c>
      <c r="E43" s="566">
        <f ca="1">'##'!$O$51</f>
        <v>0</v>
      </c>
      <c r="F43" s="566">
        <f ca="1">'##'!$T$51</f>
        <v>0</v>
      </c>
      <c r="G43" s="567">
        <f ca="1">'##'!K51</f>
        <v>0</v>
      </c>
      <c r="H43" s="569">
        <f ca="1">SUM(H13:H42)</f>
        <v>0</v>
      </c>
      <c r="I43" s="569">
        <f ca="1">SUM(I13:I42)</f>
        <v>0</v>
      </c>
      <c r="J43" s="569">
        <f t="shared" ca="1" si="8"/>
        <v>0</v>
      </c>
      <c r="K43" s="569">
        <f t="shared" ca="1" si="9"/>
        <v>0</v>
      </c>
      <c r="L43" s="568">
        <f ca="1">SUM(L13:L42)</f>
        <v>0</v>
      </c>
    </row>
    <row r="44" spans="1:12" ht="12.75" x14ac:dyDescent="0.2">
      <c r="B44" s="570" t="s">
        <v>307</v>
      </c>
      <c r="D44" s="492"/>
      <c r="E44" s="492"/>
      <c r="F44" s="492"/>
      <c r="G44" s="492"/>
      <c r="H44" s="492"/>
      <c r="I44" s="492"/>
      <c r="J44" s="492"/>
      <c r="K44" s="492"/>
      <c r="L44" s="492"/>
    </row>
    <row r="45" spans="1:12" ht="12.75" x14ac:dyDescent="0.2">
      <c r="B45" s="571" t="s">
        <v>347</v>
      </c>
      <c r="D45" s="492"/>
      <c r="E45" s="492"/>
      <c r="F45" s="492"/>
      <c r="G45" s="492"/>
      <c r="H45" s="492"/>
      <c r="I45" s="492"/>
      <c r="J45" s="492"/>
      <c r="K45" s="492"/>
      <c r="L45" s="492"/>
    </row>
    <row r="46" spans="1:12" ht="14.25" x14ac:dyDescent="0.2">
      <c r="A46" s="512"/>
      <c r="D46" s="492"/>
      <c r="E46" s="492"/>
      <c r="F46" s="492"/>
      <c r="G46" s="492"/>
      <c r="H46" s="492"/>
      <c r="I46" s="492"/>
      <c r="J46" s="492"/>
      <c r="K46" s="492"/>
      <c r="L46" s="492"/>
    </row>
    <row r="47" spans="1:12" ht="14.25" x14ac:dyDescent="0.2">
      <c r="A47" s="512"/>
      <c r="D47" s="492"/>
      <c r="E47" s="492"/>
      <c r="F47" s="492"/>
      <c r="G47" s="492"/>
      <c r="H47" s="492"/>
      <c r="I47" s="492"/>
      <c r="J47" s="492"/>
      <c r="K47" s="492"/>
      <c r="L47" s="492"/>
    </row>
    <row r="48" spans="1:12" ht="12.75" hidden="1" x14ac:dyDescent="0.2">
      <c r="D48" s="492"/>
      <c r="E48" s="492"/>
      <c r="F48" s="492"/>
      <c r="G48" s="492"/>
      <c r="H48" s="492"/>
      <c r="I48" s="492"/>
      <c r="J48" s="492"/>
      <c r="K48" s="492"/>
      <c r="L48" s="492"/>
    </row>
    <row r="49" spans="1:12" ht="14.25" x14ac:dyDescent="0.2">
      <c r="A49" s="512"/>
      <c r="D49" s="492"/>
      <c r="E49" s="492"/>
      <c r="F49" s="492"/>
      <c r="G49" s="492"/>
      <c r="H49" s="492"/>
      <c r="I49" s="492"/>
      <c r="J49" s="492"/>
      <c r="K49" s="492"/>
      <c r="L49" s="492"/>
    </row>
    <row r="50" spans="1:12" ht="14.25" x14ac:dyDescent="0.2">
      <c r="A50" s="512"/>
      <c r="D50" s="492"/>
      <c r="E50" s="492"/>
      <c r="F50" s="492"/>
      <c r="G50" s="492"/>
      <c r="H50" s="492"/>
      <c r="I50" s="492"/>
      <c r="J50" s="492"/>
      <c r="K50" s="492"/>
      <c r="L50" s="492"/>
    </row>
  </sheetData>
  <sheetProtection password="CF18" sheet="1" objects="1"/>
  <mergeCells count="7">
    <mergeCell ref="B8:C8"/>
    <mergeCell ref="B9:C9"/>
    <mergeCell ref="J3:L3"/>
    <mergeCell ref="E5:H5"/>
    <mergeCell ref="B7:C7"/>
    <mergeCell ref="B5:C5"/>
    <mergeCell ref="B6:C6"/>
  </mergeCells>
  <phoneticPr fontId="2" type="noConversion"/>
  <conditionalFormatting sqref="H13:L14 B13:F14 B37:F42 H37:L42 B16:F35 H16:L35">
    <cfRule type="expression" dxfId="95" priority="35" stopIfTrue="1">
      <formula>NOT(INDEX(linkedAll,ROW()-ROW($B$12)))</formula>
    </cfRule>
    <cfRule type="expression" dxfId="94" priority="36" stopIfTrue="1">
      <formula>INDEX(explExistAll,ROW()-ROW($B$12))</formula>
    </cfRule>
  </conditionalFormatting>
  <conditionalFormatting sqref="B13:L14 B37:L42 B16:L35">
    <cfRule type="expression" dxfId="93" priority="28">
      <formula>0=INDEX(indBudDiscZX,ROW()-ROW($B$12)+1)</formula>
    </cfRule>
  </conditionalFormatting>
  <conditionalFormatting sqref="L4:L9 H6:H9">
    <cfRule type="cellIs" dxfId="92" priority="26" operator="equal">
      <formula>0</formula>
    </cfRule>
  </conditionalFormatting>
  <conditionalFormatting sqref="B6:C9">
    <cfRule type="expression" dxfId="91" priority="25">
      <formula>LEFT(B6,11)="&lt; Название "</formula>
    </cfRule>
  </conditionalFormatting>
  <conditionalFormatting sqref="H36:L36 B36:F36">
    <cfRule type="expression" dxfId="90" priority="5" stopIfTrue="1">
      <formula>NOT(INDEX(linkedAll,ROW()-ROW($B$12)))</formula>
    </cfRule>
    <cfRule type="expression" dxfId="89" priority="6" stopIfTrue="1">
      <formula>INDEX(explExistAll,ROW()-ROW($B$12))</formula>
    </cfRule>
  </conditionalFormatting>
  <conditionalFormatting sqref="B36:L36">
    <cfRule type="expression" dxfId="88" priority="4">
      <formula>0=INDEX(indBudDiscZX,ROW()-ROW($B$12)+1)</formula>
    </cfRule>
  </conditionalFormatting>
  <conditionalFormatting sqref="H15:L15 B15:F15">
    <cfRule type="expression" dxfId="87" priority="2" stopIfTrue="1">
      <formula>NOT(INDEX(linkedAll,ROW()-ROW($B$12)))</formula>
    </cfRule>
    <cfRule type="expression" dxfId="86" priority="3" stopIfTrue="1">
      <formula>INDEX(explExistAll,ROW()-ROW($B$12))</formula>
    </cfRule>
  </conditionalFormatting>
  <conditionalFormatting sqref="B15:L15">
    <cfRule type="expression" dxfId="85" priority="1">
      <formula>0=INDEX(indBudDiscZX,ROW()-ROW($B$12)+1)</formula>
    </cfRule>
  </conditionalFormatting>
  <pageMargins left="0.75" right="0.75" top="1" bottom="1" header="0.5" footer="0.5"/>
  <pageSetup paperSize="9" scale="61" orientation="landscape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9">
    <tabColor rgb="FF92D050"/>
    <pageSetUpPr fitToPage="1"/>
  </sheetPr>
  <dimension ref="A1:J49"/>
  <sheetViews>
    <sheetView showGridLines="0" zoomScale="80" zoomScaleNormal="80" workbookViewId="0"/>
  </sheetViews>
  <sheetFormatPr defaultColWidth="9.140625" defaultRowHeight="12.75" x14ac:dyDescent="0.2"/>
  <cols>
    <col min="1" max="1" width="2.5703125" style="60" customWidth="1"/>
    <col min="2" max="2" width="33" style="60" customWidth="1"/>
    <col min="3" max="3" width="57.140625" style="60" customWidth="1"/>
    <col min="4" max="7" width="15.7109375" style="60" customWidth="1"/>
    <col min="8" max="9" width="15.7109375" style="253" customWidth="1"/>
    <col min="10" max="10" width="43.42578125" style="60" customWidth="1"/>
    <col min="11" max="11" width="10.28515625" style="60" customWidth="1"/>
    <col min="12" max="16384" width="9.140625" style="60"/>
  </cols>
  <sheetData>
    <row r="1" spans="2:10" x14ac:dyDescent="0.2">
      <c r="J1" s="253"/>
    </row>
    <row r="2" spans="2:10" ht="18" x14ac:dyDescent="0.2">
      <c r="B2" s="76" t="s">
        <v>67</v>
      </c>
      <c r="C2" s="12"/>
      <c r="D2" s="574" t="str">
        <f>СПЛИТ!$B$3</f>
        <v>Версия прайс-листа: 23.09.2013</v>
      </c>
    </row>
    <row r="3" spans="2:10" x14ac:dyDescent="0.2">
      <c r="B3" s="3" t="s">
        <v>198</v>
      </c>
      <c r="C3" s="4"/>
    </row>
    <row r="5" spans="2:10" x14ac:dyDescent="0.2">
      <c r="B5" s="6" t="s">
        <v>303</v>
      </c>
      <c r="C5" s="4"/>
      <c r="D5" s="4"/>
      <c r="E5" s="4"/>
    </row>
    <row r="6" spans="2:10" x14ac:dyDescent="0.2">
      <c r="B6" s="328" t="s">
        <v>89</v>
      </c>
      <c r="C6" s="328" t="s">
        <v>286</v>
      </c>
    </row>
    <row r="7" spans="2:10" x14ac:dyDescent="0.2">
      <c r="B7" s="9" t="s">
        <v>79</v>
      </c>
      <c r="C7" s="285">
        <v>0.8</v>
      </c>
      <c r="D7" s="304"/>
    </row>
    <row r="8" spans="2:10" x14ac:dyDescent="0.2">
      <c r="B8" s="10" t="s">
        <v>80</v>
      </c>
      <c r="C8" s="286">
        <v>0.9</v>
      </c>
      <c r="D8" s="304"/>
    </row>
    <row r="9" spans="2:10" x14ac:dyDescent="0.2">
      <c r="B9" s="10" t="s">
        <v>81</v>
      </c>
      <c r="C9" s="286">
        <v>1</v>
      </c>
      <c r="D9" s="304"/>
    </row>
    <row r="10" spans="2:10" x14ac:dyDescent="0.2">
      <c r="B10" s="10" t="s">
        <v>82</v>
      </c>
      <c r="C10" s="286">
        <v>1</v>
      </c>
      <c r="D10" s="304"/>
    </row>
    <row r="11" spans="2:10" x14ac:dyDescent="0.2">
      <c r="B11" s="10" t="s">
        <v>83</v>
      </c>
      <c r="C11" s="286">
        <v>1</v>
      </c>
      <c r="D11" s="304"/>
    </row>
    <row r="12" spans="2:10" x14ac:dyDescent="0.2">
      <c r="B12" s="10" t="s">
        <v>84</v>
      </c>
      <c r="C12" s="286">
        <v>1</v>
      </c>
      <c r="D12" s="304"/>
    </row>
    <row r="13" spans="2:10" x14ac:dyDescent="0.2">
      <c r="B13" s="10" t="s">
        <v>85</v>
      </c>
      <c r="C13" s="286">
        <v>0.9</v>
      </c>
      <c r="D13" s="304"/>
    </row>
    <row r="14" spans="2:10" x14ac:dyDescent="0.2">
      <c r="B14" s="10" t="s">
        <v>74</v>
      </c>
      <c r="C14" s="286">
        <v>0.9</v>
      </c>
      <c r="D14" s="304"/>
      <c r="E14" s="305"/>
    </row>
    <row r="15" spans="2:10" x14ac:dyDescent="0.2">
      <c r="B15" s="10" t="s">
        <v>75</v>
      </c>
      <c r="C15" s="286">
        <v>1.3</v>
      </c>
      <c r="D15" s="304"/>
      <c r="E15" s="305"/>
    </row>
    <row r="16" spans="2:10" x14ac:dyDescent="0.2">
      <c r="B16" s="10" t="s">
        <v>86</v>
      </c>
      <c r="C16" s="286">
        <v>1.3</v>
      </c>
      <c r="D16" s="304"/>
      <c r="E16" s="305"/>
    </row>
    <row r="17" spans="1:10" x14ac:dyDescent="0.2">
      <c r="B17" s="10" t="s">
        <v>87</v>
      </c>
      <c r="C17" s="286">
        <v>1.3</v>
      </c>
      <c r="D17" s="304"/>
      <c r="E17" s="305"/>
    </row>
    <row r="18" spans="1:10" x14ac:dyDescent="0.2">
      <c r="B18" s="11" t="s">
        <v>88</v>
      </c>
      <c r="C18" s="287">
        <v>1.3</v>
      </c>
      <c r="D18" s="304"/>
    </row>
    <row r="19" spans="1:10" s="304" customFormat="1" x14ac:dyDescent="0.2">
      <c r="B19" s="15"/>
      <c r="C19" s="16"/>
      <c r="H19" s="306"/>
      <c r="I19" s="306"/>
    </row>
    <row r="22" spans="1:10" ht="44.25" customHeight="1" x14ac:dyDescent="0.55000000000000004">
      <c r="A22" s="319"/>
      <c r="B22" s="320" t="s">
        <v>278</v>
      </c>
      <c r="C22" s="320" t="s">
        <v>279</v>
      </c>
      <c r="D22" s="320" t="s">
        <v>275</v>
      </c>
      <c r="E22" s="320" t="s">
        <v>280</v>
      </c>
      <c r="F22" s="321" t="s">
        <v>395</v>
      </c>
      <c r="G22" s="321" t="s">
        <v>111</v>
      </c>
      <c r="H22" s="322" t="s">
        <v>282</v>
      </c>
      <c r="I22" s="322" t="s">
        <v>283</v>
      </c>
      <c r="J22" s="321" t="s">
        <v>285</v>
      </c>
    </row>
    <row r="23" spans="1:10" x14ac:dyDescent="0.2">
      <c r="B23" s="298" t="s">
        <v>113</v>
      </c>
      <c r="C23" s="288" t="s">
        <v>532</v>
      </c>
      <c r="D23" s="290">
        <v>52500</v>
      </c>
      <c r="E23" s="289" t="s">
        <v>96</v>
      </c>
      <c r="F23" s="290">
        <v>150</v>
      </c>
      <c r="G23" s="291">
        <v>350</v>
      </c>
      <c r="H23" s="296">
        <v>0.25</v>
      </c>
      <c r="I23" s="296">
        <v>0.15</v>
      </c>
      <c r="J23" s="299"/>
    </row>
    <row r="24" spans="1:10" x14ac:dyDescent="0.2">
      <c r="B24" s="298" t="s">
        <v>113</v>
      </c>
      <c r="C24" s="288" t="s">
        <v>117</v>
      </c>
      <c r="D24" s="290">
        <v>400</v>
      </c>
      <c r="E24" s="289" t="s">
        <v>101</v>
      </c>
      <c r="F24" s="290">
        <v>1</v>
      </c>
      <c r="G24" s="291">
        <f>D24/F24</f>
        <v>400</v>
      </c>
      <c r="H24" s="296">
        <v>0.25</v>
      </c>
      <c r="I24" s="296">
        <v>0.15</v>
      </c>
      <c r="J24" s="299"/>
    </row>
    <row r="25" spans="1:10" x14ac:dyDescent="0.2">
      <c r="B25" s="298" t="s">
        <v>113</v>
      </c>
      <c r="C25" s="288" t="s">
        <v>533</v>
      </c>
      <c r="D25" s="290">
        <v>376</v>
      </c>
      <c r="E25" s="289" t="s">
        <v>101</v>
      </c>
      <c r="F25" s="290">
        <v>1</v>
      </c>
      <c r="G25" s="291">
        <f>D25/F25</f>
        <v>376</v>
      </c>
      <c r="H25" s="296">
        <v>0.25</v>
      </c>
      <c r="I25" s="296">
        <v>0.15</v>
      </c>
      <c r="J25" s="299"/>
    </row>
    <row r="26" spans="1:10" x14ac:dyDescent="0.2">
      <c r="B26" s="298" t="s">
        <v>113</v>
      </c>
      <c r="C26" s="288" t="s">
        <v>752</v>
      </c>
      <c r="D26" s="290">
        <v>750</v>
      </c>
      <c r="E26" s="289" t="s">
        <v>101</v>
      </c>
      <c r="F26" s="290">
        <v>1</v>
      </c>
      <c r="G26" s="291">
        <f>D26/F26</f>
        <v>750</v>
      </c>
      <c r="H26" s="296">
        <v>0.25</v>
      </c>
      <c r="I26" s="296">
        <v>0.15</v>
      </c>
      <c r="J26" s="299"/>
    </row>
    <row r="27" spans="1:10" x14ac:dyDescent="0.2">
      <c r="B27" s="323" t="s">
        <v>288</v>
      </c>
      <c r="C27" s="324"/>
      <c r="D27" s="325"/>
      <c r="E27" s="325"/>
      <c r="F27" s="325"/>
      <c r="G27" s="325"/>
      <c r="H27" s="326"/>
      <c r="I27" s="326"/>
      <c r="J27" s="327"/>
    </row>
    <row r="30" spans="1:10" x14ac:dyDescent="0.2">
      <c r="B30" s="6" t="s">
        <v>302</v>
      </c>
    </row>
    <row r="31" spans="1:10" ht="15" x14ac:dyDescent="0.2">
      <c r="A31" s="307"/>
      <c r="B31" s="913" t="s">
        <v>305</v>
      </c>
      <c r="C31" s="914"/>
      <c r="D31" s="915"/>
    </row>
    <row r="32" spans="1:10" x14ac:dyDescent="0.2">
      <c r="B32" s="80" t="s">
        <v>4</v>
      </c>
      <c r="C32" s="81">
        <v>0.25</v>
      </c>
      <c r="D32" s="91"/>
    </row>
    <row r="33" spans="1:4" x14ac:dyDescent="0.2">
      <c r="B33" s="81" t="s">
        <v>183</v>
      </c>
      <c r="C33" s="81">
        <v>0.15</v>
      </c>
      <c r="D33" s="81"/>
    </row>
    <row r="34" spans="1:4" ht="15" x14ac:dyDescent="0.2">
      <c r="A34" s="307"/>
      <c r="B34" s="913" t="s">
        <v>304</v>
      </c>
      <c r="C34" s="914"/>
      <c r="D34" s="915"/>
    </row>
    <row r="35" spans="1:4" x14ac:dyDescent="0.2">
      <c r="A35" s="308"/>
      <c r="B35" s="77" t="s">
        <v>3</v>
      </c>
      <c r="C35" s="78">
        <v>0.5</v>
      </c>
      <c r="D35" s="79"/>
    </row>
    <row r="36" spans="1:4" ht="55.5" customHeight="1" x14ac:dyDescent="0.2">
      <c r="A36" s="308"/>
      <c r="B36" s="83" t="s">
        <v>562</v>
      </c>
      <c r="C36" s="84">
        <v>0.5</v>
      </c>
      <c r="D36" s="86"/>
    </row>
    <row r="37" spans="1:4" ht="15" x14ac:dyDescent="0.2">
      <c r="A37" s="307"/>
      <c r="B37" s="913" t="s">
        <v>301</v>
      </c>
      <c r="C37" s="914"/>
      <c r="D37" s="915"/>
    </row>
    <row r="38" spans="1:4" x14ac:dyDescent="0.2">
      <c r="A38" s="308"/>
      <c r="B38" s="80" t="s">
        <v>11</v>
      </c>
      <c r="C38" s="81">
        <v>0</v>
      </c>
      <c r="D38" s="87" t="s">
        <v>449</v>
      </c>
    </row>
    <row r="39" spans="1:4" x14ac:dyDescent="0.2">
      <c r="A39" s="308"/>
      <c r="B39" s="80" t="s">
        <v>8</v>
      </c>
      <c r="C39" s="81">
        <v>0</v>
      </c>
      <c r="D39" s="87" t="s">
        <v>449</v>
      </c>
    </row>
    <row r="40" spans="1:4" x14ac:dyDescent="0.2">
      <c r="A40" s="308"/>
      <c r="B40" s="83" t="s">
        <v>138</v>
      </c>
      <c r="C40" s="84">
        <v>0</v>
      </c>
      <c r="D40" s="85" t="s">
        <v>449</v>
      </c>
    </row>
    <row r="41" spans="1:4" ht="15" x14ac:dyDescent="0.2">
      <c r="A41" s="307"/>
      <c r="B41" s="913" t="s">
        <v>300</v>
      </c>
      <c r="C41" s="914"/>
      <c r="D41" s="915"/>
    </row>
    <row r="42" spans="1:4" x14ac:dyDescent="0.2">
      <c r="A42" s="308"/>
      <c r="B42" s="77" t="s">
        <v>139</v>
      </c>
      <c r="C42" s="78">
        <v>0</v>
      </c>
      <c r="D42" s="79"/>
    </row>
    <row r="43" spans="1:4" x14ac:dyDescent="0.2">
      <c r="A43" s="308"/>
      <c r="B43" s="80" t="s">
        <v>9</v>
      </c>
      <c r="C43" s="81">
        <v>0</v>
      </c>
      <c r="D43" s="82"/>
    </row>
    <row r="44" spans="1:4" x14ac:dyDescent="0.2">
      <c r="A44" s="308"/>
      <c r="B44" s="80" t="s">
        <v>141</v>
      </c>
      <c r="C44" s="81" t="s">
        <v>51</v>
      </c>
      <c r="D44" s="82"/>
    </row>
    <row r="45" spans="1:4" x14ac:dyDescent="0.2">
      <c r="A45" s="308"/>
      <c r="B45" s="80" t="s">
        <v>179</v>
      </c>
      <c r="C45" s="81" t="s">
        <v>51</v>
      </c>
      <c r="D45" s="82"/>
    </row>
    <row r="46" spans="1:4" x14ac:dyDescent="0.2">
      <c r="A46" s="308"/>
      <c r="B46" s="80" t="s">
        <v>144</v>
      </c>
      <c r="C46" s="81">
        <v>0</v>
      </c>
      <c r="D46" s="82"/>
    </row>
    <row r="47" spans="1:4" x14ac:dyDescent="0.2">
      <c r="A47" s="308"/>
      <c r="B47" s="80" t="s">
        <v>140</v>
      </c>
      <c r="C47" s="81" t="s">
        <v>51</v>
      </c>
      <c r="D47" s="82"/>
    </row>
    <row r="48" spans="1:4" x14ac:dyDescent="0.2">
      <c r="A48" s="308"/>
      <c r="B48" s="80" t="s">
        <v>35</v>
      </c>
      <c r="C48" s="81">
        <v>0</v>
      </c>
      <c r="D48" s="82"/>
    </row>
    <row r="49" spans="1:4" x14ac:dyDescent="0.2">
      <c r="A49" s="308"/>
      <c r="B49" s="83" t="s">
        <v>38</v>
      </c>
      <c r="C49" s="84" t="s">
        <v>51</v>
      </c>
      <c r="D49" s="86"/>
    </row>
  </sheetData>
  <sheetProtection password="CF18" sheet="1" objects="1"/>
  <mergeCells count="4">
    <mergeCell ref="B34:D34"/>
    <mergeCell ref="B31:D31"/>
    <mergeCell ref="B41:D41"/>
    <mergeCell ref="B37:D37"/>
  </mergeCells>
  <phoneticPr fontId="2" type="noConversion"/>
  <conditionalFormatting sqref="B23:J26">
    <cfRule type="expression" dxfId="14" priority="1" stopIfTrue="1">
      <formula>AND(COLUMN()=COLUMN($B23),$B23=OFFSET($B23,-1,0))</formula>
    </cfRule>
    <cfRule type="expression" dxfId="13" priority="2" stopIfTrue="1">
      <formula>$B23&lt;&gt;OFFSET($B23,-1,0)</formula>
    </cfRule>
  </conditionalFormatting>
  <dataValidations count="1">
    <dataValidation type="list" allowBlank="1" showInputMessage="1" showErrorMessage="1" sqref="E23:E26">
      <formula1>typeIndexSm</formula1>
    </dataValidation>
  </dataValidations>
  <hyperlinks>
    <hyperlink ref="D2" location="'Медиа-Заявка'!R279C3" tooltip="Вернуться на медиа-заявку" display="'Медиа-Заявка'!R279C3"/>
  </hyperlinks>
  <pageMargins left="0.75" right="0.75" top="1" bottom="1" header="0.5" footer="0.5"/>
  <pageSetup paperSize="9" scale="56" orientation="landscape" r:id="rId1"/>
  <headerFooter alignWithMargins="0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6">
    <tabColor rgb="FF92D050"/>
    <pageSetUpPr fitToPage="1"/>
  </sheetPr>
  <dimension ref="A1:J45"/>
  <sheetViews>
    <sheetView showGridLines="0" zoomScale="80" zoomScaleNormal="80" workbookViewId="0"/>
  </sheetViews>
  <sheetFormatPr defaultColWidth="9.140625" defaultRowHeight="12.75" x14ac:dyDescent="0.2"/>
  <cols>
    <col min="1" max="1" width="2.5703125" style="60" customWidth="1"/>
    <col min="2" max="2" width="33" style="60" customWidth="1"/>
    <col min="3" max="3" width="57.140625" style="60" customWidth="1"/>
    <col min="4" max="7" width="15.7109375" style="60" customWidth="1"/>
    <col min="8" max="9" width="15.7109375" style="253" customWidth="1"/>
    <col min="10" max="10" width="43.42578125" style="60" customWidth="1"/>
    <col min="11" max="11" width="10.28515625" style="60" customWidth="1"/>
    <col min="12" max="16384" width="9.140625" style="60"/>
  </cols>
  <sheetData>
    <row r="1" spans="2:10" x14ac:dyDescent="0.2">
      <c r="J1" s="253"/>
    </row>
    <row r="2" spans="2:10" ht="18" x14ac:dyDescent="0.2">
      <c r="B2" s="12" t="s">
        <v>45</v>
      </c>
      <c r="C2" s="12"/>
      <c r="D2" s="574" t="str">
        <f>currentVersion</f>
        <v>Версия прайс-листа: 23.09.2013</v>
      </c>
    </row>
    <row r="3" spans="2:10" x14ac:dyDescent="0.2">
      <c r="B3" s="3" t="s">
        <v>198</v>
      </c>
      <c r="C3" s="4"/>
    </row>
    <row r="5" spans="2:10" x14ac:dyDescent="0.2">
      <c r="B5" s="6" t="s">
        <v>303</v>
      </c>
      <c r="C5" s="4"/>
      <c r="D5" s="4"/>
      <c r="E5" s="4"/>
    </row>
    <row r="6" spans="2:10" x14ac:dyDescent="0.2">
      <c r="B6" s="328" t="s">
        <v>89</v>
      </c>
      <c r="C6" s="328" t="s">
        <v>286</v>
      </c>
    </row>
    <row r="7" spans="2:10" x14ac:dyDescent="0.2">
      <c r="B7" s="9" t="s">
        <v>79</v>
      </c>
      <c r="C7" s="285">
        <v>0.8</v>
      </c>
      <c r="D7" s="304"/>
    </row>
    <row r="8" spans="2:10" x14ac:dyDescent="0.2">
      <c r="B8" s="10" t="s">
        <v>80</v>
      </c>
      <c r="C8" s="286">
        <v>0.9</v>
      </c>
      <c r="D8" s="304"/>
    </row>
    <row r="9" spans="2:10" x14ac:dyDescent="0.2">
      <c r="B9" s="10" t="s">
        <v>81</v>
      </c>
      <c r="C9" s="286">
        <v>1</v>
      </c>
      <c r="D9" s="304"/>
    </row>
    <row r="10" spans="2:10" x14ac:dyDescent="0.2">
      <c r="B10" s="10" t="s">
        <v>82</v>
      </c>
      <c r="C10" s="286">
        <v>1</v>
      </c>
      <c r="D10" s="304"/>
    </row>
    <row r="11" spans="2:10" x14ac:dyDescent="0.2">
      <c r="B11" s="10" t="s">
        <v>83</v>
      </c>
      <c r="C11" s="286">
        <v>1</v>
      </c>
      <c r="D11" s="304"/>
    </row>
    <row r="12" spans="2:10" x14ac:dyDescent="0.2">
      <c r="B12" s="10" t="s">
        <v>84</v>
      </c>
      <c r="C12" s="286">
        <v>1</v>
      </c>
      <c r="D12" s="304"/>
    </row>
    <row r="13" spans="2:10" x14ac:dyDescent="0.2">
      <c r="B13" s="10" t="s">
        <v>85</v>
      </c>
      <c r="C13" s="286">
        <v>0.9</v>
      </c>
      <c r="D13" s="304"/>
    </row>
    <row r="14" spans="2:10" x14ac:dyDescent="0.2">
      <c r="B14" s="10" t="s">
        <v>74</v>
      </c>
      <c r="C14" s="286">
        <v>0.9</v>
      </c>
      <c r="D14" s="304"/>
      <c r="E14" s="305"/>
    </row>
    <row r="15" spans="2:10" x14ac:dyDescent="0.2">
      <c r="B15" s="10" t="s">
        <v>75</v>
      </c>
      <c r="C15" s="286">
        <v>1.3</v>
      </c>
      <c r="D15" s="304"/>
      <c r="E15" s="305"/>
    </row>
    <row r="16" spans="2:10" x14ac:dyDescent="0.2">
      <c r="B16" s="10" t="s">
        <v>86</v>
      </c>
      <c r="C16" s="286">
        <v>1.3</v>
      </c>
      <c r="D16" s="304"/>
      <c r="E16" s="305"/>
    </row>
    <row r="17" spans="1:10" x14ac:dyDescent="0.2">
      <c r="B17" s="10" t="s">
        <v>87</v>
      </c>
      <c r="C17" s="286">
        <v>1.3</v>
      </c>
      <c r="D17" s="304"/>
      <c r="E17" s="305"/>
    </row>
    <row r="18" spans="1:10" x14ac:dyDescent="0.2">
      <c r="B18" s="11" t="s">
        <v>88</v>
      </c>
      <c r="C18" s="287">
        <v>1.3</v>
      </c>
      <c r="D18" s="304"/>
    </row>
    <row r="19" spans="1:10" s="304" customFormat="1" x14ac:dyDescent="0.2">
      <c r="B19" s="15"/>
      <c r="C19" s="16"/>
      <c r="H19" s="306"/>
      <c r="I19" s="306"/>
    </row>
    <row r="22" spans="1:10" ht="44.25" customHeight="1" x14ac:dyDescent="0.55000000000000004">
      <c r="A22" s="319"/>
      <c r="B22" s="320" t="s">
        <v>278</v>
      </c>
      <c r="C22" s="320" t="s">
        <v>279</v>
      </c>
      <c r="D22" s="320" t="s">
        <v>275</v>
      </c>
      <c r="E22" s="320" t="s">
        <v>280</v>
      </c>
      <c r="F22" s="321" t="s">
        <v>395</v>
      </c>
      <c r="G22" s="321" t="s">
        <v>111</v>
      </c>
      <c r="H22" s="322" t="s">
        <v>282</v>
      </c>
      <c r="I22" s="322" t="s">
        <v>283</v>
      </c>
      <c r="J22" s="321" t="s">
        <v>285</v>
      </c>
    </row>
    <row r="23" spans="1:10" x14ac:dyDescent="0.2">
      <c r="B23" s="298" t="s">
        <v>113</v>
      </c>
      <c r="C23" s="288" t="s">
        <v>172</v>
      </c>
      <c r="D23" s="290">
        <v>250000</v>
      </c>
      <c r="E23" s="289" t="s">
        <v>96</v>
      </c>
      <c r="F23" s="290">
        <v>500</v>
      </c>
      <c r="G23" s="291">
        <f>D23/F23</f>
        <v>500</v>
      </c>
      <c r="H23" s="296">
        <v>0.5</v>
      </c>
      <c r="I23" s="296" t="s">
        <v>103</v>
      </c>
      <c r="J23" s="299"/>
    </row>
    <row r="24" spans="1:10" ht="51" x14ac:dyDescent="0.2">
      <c r="B24" s="298" t="s">
        <v>113</v>
      </c>
      <c r="C24" s="288" t="s">
        <v>351</v>
      </c>
      <c r="D24" s="290">
        <v>200000</v>
      </c>
      <c r="E24" s="289" t="s">
        <v>96</v>
      </c>
      <c r="F24" s="290">
        <v>500</v>
      </c>
      <c r="G24" s="291">
        <f>D24/F24</f>
        <v>400</v>
      </c>
      <c r="H24" s="296">
        <v>0.5</v>
      </c>
      <c r="I24" s="296" t="s">
        <v>103</v>
      </c>
      <c r="J24" s="299" t="s">
        <v>195</v>
      </c>
    </row>
    <row r="25" spans="1:10" x14ac:dyDescent="0.2">
      <c r="B25" s="298" t="s">
        <v>113</v>
      </c>
      <c r="C25" s="288" t="s">
        <v>885</v>
      </c>
      <c r="D25" s="290">
        <v>100000</v>
      </c>
      <c r="E25" s="289" t="s">
        <v>96</v>
      </c>
      <c r="F25" s="290">
        <v>250</v>
      </c>
      <c r="G25" s="291">
        <f>D25/F25</f>
        <v>400</v>
      </c>
      <c r="H25" s="296">
        <v>0.5</v>
      </c>
      <c r="I25" s="296" t="s">
        <v>103</v>
      </c>
      <c r="J25" s="299"/>
    </row>
    <row r="26" spans="1:10" x14ac:dyDescent="0.2">
      <c r="B26" s="298" t="s">
        <v>113</v>
      </c>
      <c r="C26" s="288" t="s">
        <v>173</v>
      </c>
      <c r="D26" s="290">
        <v>250000</v>
      </c>
      <c r="E26" s="289" t="s">
        <v>96</v>
      </c>
      <c r="F26" s="290">
        <v>500</v>
      </c>
      <c r="G26" s="291">
        <f>D26/F26</f>
        <v>500</v>
      </c>
      <c r="H26" s="296">
        <v>0.5</v>
      </c>
      <c r="I26" s="296" t="s">
        <v>103</v>
      </c>
      <c r="J26" s="299"/>
    </row>
    <row r="27" spans="1:10" x14ac:dyDescent="0.2">
      <c r="B27" s="298" t="s">
        <v>113</v>
      </c>
      <c r="C27" s="288" t="s">
        <v>215</v>
      </c>
      <c r="D27" s="290">
        <v>600</v>
      </c>
      <c r="E27" s="289" t="s">
        <v>101</v>
      </c>
      <c r="F27" s="290">
        <v>1</v>
      </c>
      <c r="G27" s="291">
        <f>D27/F27</f>
        <v>600</v>
      </c>
      <c r="H27" s="296">
        <v>0.5</v>
      </c>
      <c r="I27" s="296" t="s">
        <v>103</v>
      </c>
      <c r="J27" s="299"/>
    </row>
    <row r="28" spans="1:10" x14ac:dyDescent="0.2">
      <c r="B28" s="323" t="s">
        <v>288</v>
      </c>
      <c r="C28" s="324"/>
      <c r="D28" s="325"/>
      <c r="E28" s="325"/>
      <c r="F28" s="325"/>
      <c r="G28" s="325"/>
      <c r="H28" s="326"/>
      <c r="I28" s="326"/>
      <c r="J28" s="327"/>
    </row>
    <row r="32" spans="1:10" x14ac:dyDescent="0.2">
      <c r="B32" s="6" t="s">
        <v>302</v>
      </c>
    </row>
    <row r="33" spans="1:4" ht="15" x14ac:dyDescent="0.2">
      <c r="A33" s="307"/>
      <c r="B33" s="913" t="s">
        <v>305</v>
      </c>
      <c r="C33" s="914"/>
      <c r="D33" s="915"/>
    </row>
    <row r="34" spans="1:4" x14ac:dyDescent="0.2">
      <c r="B34" s="80" t="s">
        <v>43</v>
      </c>
      <c r="C34" s="81">
        <v>0.25</v>
      </c>
      <c r="D34" s="91" t="s">
        <v>57</v>
      </c>
    </row>
    <row r="35" spans="1:4" ht="15" x14ac:dyDescent="0.2">
      <c r="A35" s="307"/>
      <c r="B35" s="913" t="s">
        <v>304</v>
      </c>
      <c r="C35" s="914"/>
      <c r="D35" s="915"/>
    </row>
    <row r="36" spans="1:4" x14ac:dyDescent="0.2">
      <c r="A36" s="308"/>
      <c r="B36" s="77" t="s">
        <v>3</v>
      </c>
      <c r="C36" s="78">
        <v>0.3</v>
      </c>
      <c r="D36" s="79"/>
    </row>
    <row r="37" spans="1:4" ht="57" customHeight="1" x14ac:dyDescent="0.2">
      <c r="A37" s="308"/>
      <c r="B37" s="83" t="s">
        <v>562</v>
      </c>
      <c r="C37" s="84">
        <v>0.5</v>
      </c>
      <c r="D37" s="86"/>
    </row>
    <row r="38" spans="1:4" x14ac:dyDescent="0.2">
      <c r="B38" s="913" t="s">
        <v>301</v>
      </c>
      <c r="C38" s="914"/>
      <c r="D38" s="915"/>
    </row>
    <row r="39" spans="1:4" x14ac:dyDescent="0.2">
      <c r="A39" s="308"/>
      <c r="B39" s="77" t="s">
        <v>34</v>
      </c>
      <c r="C39" s="78">
        <v>0</v>
      </c>
      <c r="D39" s="108"/>
    </row>
    <row r="40" spans="1:4" ht="15" x14ac:dyDescent="0.2">
      <c r="A40" s="307"/>
      <c r="B40" s="913" t="s">
        <v>300</v>
      </c>
      <c r="C40" s="914"/>
      <c r="D40" s="915"/>
    </row>
    <row r="41" spans="1:4" x14ac:dyDescent="0.2">
      <c r="A41" s="308"/>
      <c r="B41" s="77" t="s">
        <v>139</v>
      </c>
      <c r="C41" s="78">
        <v>0</v>
      </c>
      <c r="D41" s="108"/>
    </row>
    <row r="42" spans="1:4" x14ac:dyDescent="0.2">
      <c r="A42" s="308"/>
      <c r="B42" s="88" t="s">
        <v>38</v>
      </c>
      <c r="C42" s="89">
        <v>0.5</v>
      </c>
      <c r="D42" s="107" t="s">
        <v>69</v>
      </c>
    </row>
    <row r="43" spans="1:4" x14ac:dyDescent="0.2">
      <c r="A43" s="308"/>
      <c r="B43" s="80" t="s">
        <v>9</v>
      </c>
      <c r="C43" s="81">
        <v>0</v>
      </c>
      <c r="D43" s="91"/>
    </row>
    <row r="44" spans="1:4" x14ac:dyDescent="0.2">
      <c r="A44" s="308"/>
      <c r="B44" s="80" t="s">
        <v>144</v>
      </c>
      <c r="C44" s="81">
        <v>0</v>
      </c>
      <c r="D44" s="91" t="s">
        <v>69</v>
      </c>
    </row>
    <row r="45" spans="1:4" x14ac:dyDescent="0.2">
      <c r="A45" s="308"/>
      <c r="B45" s="83" t="s">
        <v>141</v>
      </c>
      <c r="C45" s="84">
        <v>0.35</v>
      </c>
      <c r="D45" s="105" t="s">
        <v>69</v>
      </c>
    </row>
  </sheetData>
  <sheetProtection password="CF18" sheet="1" objects="1"/>
  <mergeCells count="4">
    <mergeCell ref="B35:D35"/>
    <mergeCell ref="B40:D40"/>
    <mergeCell ref="B33:D33"/>
    <mergeCell ref="B38:D38"/>
  </mergeCells>
  <phoneticPr fontId="2" type="noConversion"/>
  <conditionalFormatting sqref="B23:J27">
    <cfRule type="expression" dxfId="12" priority="1" stopIfTrue="1">
      <formula>AND(COLUMN()=COLUMN($B23),$B23=OFFSET($B23,-1,0))</formula>
    </cfRule>
    <cfRule type="expression" dxfId="11" priority="2" stopIfTrue="1">
      <formula>$B23&lt;&gt;OFFSET($B23,-1,0)</formula>
    </cfRule>
  </conditionalFormatting>
  <dataValidations count="1">
    <dataValidation type="list" allowBlank="1" showInputMessage="1" showErrorMessage="1" sqref="E23:E27">
      <formula1>typeIndexSm</formula1>
    </dataValidation>
  </dataValidations>
  <hyperlinks>
    <hyperlink ref="D2" location="'Медиа-Заявка'!R284C3" tooltip="Вернуться на медиа-заявку" display="'Медиа-Заявка'!R284C3"/>
  </hyperlinks>
  <pageMargins left="0.75" right="0.75" top="1" bottom="1" header="0.5" footer="0.5"/>
  <pageSetup paperSize="9" scale="57" orientation="landscape" r:id="rId1"/>
  <headerFooter alignWithMargins="0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3">
    <tabColor rgb="FF92D050"/>
    <pageSetUpPr fitToPage="1"/>
  </sheetPr>
  <dimension ref="A1:J45"/>
  <sheetViews>
    <sheetView showGridLines="0" zoomScale="80" zoomScaleNormal="80" workbookViewId="0"/>
  </sheetViews>
  <sheetFormatPr defaultColWidth="9.140625" defaultRowHeight="12.75" x14ac:dyDescent="0.2"/>
  <cols>
    <col min="1" max="1" width="2.5703125" style="60" customWidth="1"/>
    <col min="2" max="2" width="33" style="60" customWidth="1"/>
    <col min="3" max="3" width="57.140625" style="60" customWidth="1"/>
    <col min="4" max="7" width="15.7109375" style="60" customWidth="1"/>
    <col min="8" max="9" width="15.7109375" style="253" customWidth="1"/>
    <col min="10" max="10" width="43.42578125" style="310" customWidth="1"/>
    <col min="11" max="11" width="10.28515625" style="60" customWidth="1"/>
    <col min="12" max="16384" width="9.140625" style="60"/>
  </cols>
  <sheetData>
    <row r="1" spans="2:10" x14ac:dyDescent="0.2">
      <c r="J1" s="253"/>
    </row>
    <row r="2" spans="2:10" ht="18" x14ac:dyDescent="0.2">
      <c r="B2" s="12" t="s">
        <v>58</v>
      </c>
      <c r="C2" s="12"/>
      <c r="D2" s="574" t="str">
        <f>currentVersion</f>
        <v>Версия прайс-листа: 23.09.2013</v>
      </c>
    </row>
    <row r="3" spans="2:10" x14ac:dyDescent="0.2">
      <c r="B3" s="3" t="s">
        <v>198</v>
      </c>
      <c r="C3" s="4"/>
    </row>
    <row r="5" spans="2:10" x14ac:dyDescent="0.2">
      <c r="B5" s="6" t="s">
        <v>303</v>
      </c>
      <c r="C5" s="4"/>
      <c r="D5" s="4"/>
      <c r="E5" s="4"/>
    </row>
    <row r="6" spans="2:10" x14ac:dyDescent="0.2">
      <c r="B6" s="328" t="s">
        <v>89</v>
      </c>
      <c r="C6" s="328" t="s">
        <v>286</v>
      </c>
    </row>
    <row r="7" spans="2:10" x14ac:dyDescent="0.2">
      <c r="B7" s="9" t="s">
        <v>79</v>
      </c>
      <c r="C7" s="285">
        <v>0.8</v>
      </c>
      <c r="D7" s="304"/>
    </row>
    <row r="8" spans="2:10" x14ac:dyDescent="0.2">
      <c r="B8" s="10" t="s">
        <v>80</v>
      </c>
      <c r="C8" s="286">
        <v>0.9</v>
      </c>
      <c r="D8" s="304"/>
    </row>
    <row r="9" spans="2:10" x14ac:dyDescent="0.2">
      <c r="B9" s="10" t="s">
        <v>81</v>
      </c>
      <c r="C9" s="286">
        <v>1</v>
      </c>
      <c r="D9" s="304"/>
    </row>
    <row r="10" spans="2:10" x14ac:dyDescent="0.2">
      <c r="B10" s="10" t="s">
        <v>82</v>
      </c>
      <c r="C10" s="286">
        <v>1</v>
      </c>
      <c r="D10" s="304"/>
    </row>
    <row r="11" spans="2:10" x14ac:dyDescent="0.2">
      <c r="B11" s="10" t="s">
        <v>83</v>
      </c>
      <c r="C11" s="286">
        <v>1</v>
      </c>
      <c r="D11" s="304"/>
    </row>
    <row r="12" spans="2:10" x14ac:dyDescent="0.2">
      <c r="B12" s="10" t="s">
        <v>84</v>
      </c>
      <c r="C12" s="286">
        <v>1</v>
      </c>
      <c r="D12" s="304"/>
    </row>
    <row r="13" spans="2:10" x14ac:dyDescent="0.2">
      <c r="B13" s="10" t="s">
        <v>85</v>
      </c>
      <c r="C13" s="286">
        <v>0.9</v>
      </c>
      <c r="D13" s="304"/>
    </row>
    <row r="14" spans="2:10" x14ac:dyDescent="0.2">
      <c r="B14" s="10" t="s">
        <v>74</v>
      </c>
      <c r="C14" s="286">
        <v>0.9</v>
      </c>
      <c r="D14" s="304"/>
      <c r="E14" s="305"/>
    </row>
    <row r="15" spans="2:10" x14ac:dyDescent="0.2">
      <c r="B15" s="10" t="s">
        <v>75</v>
      </c>
      <c r="C15" s="286">
        <v>1.3</v>
      </c>
      <c r="D15" s="304"/>
      <c r="E15" s="305"/>
    </row>
    <row r="16" spans="2:10" x14ac:dyDescent="0.2">
      <c r="B16" s="10" t="s">
        <v>86</v>
      </c>
      <c r="C16" s="286">
        <v>1.3</v>
      </c>
      <c r="D16" s="304"/>
      <c r="E16" s="305"/>
    </row>
    <row r="17" spans="1:10" x14ac:dyDescent="0.2">
      <c r="B17" s="10" t="s">
        <v>87</v>
      </c>
      <c r="C17" s="286">
        <v>1.3</v>
      </c>
      <c r="D17" s="304"/>
      <c r="E17" s="305"/>
    </row>
    <row r="18" spans="1:10" x14ac:dyDescent="0.2">
      <c r="B18" s="11" t="s">
        <v>88</v>
      </c>
      <c r="C18" s="287">
        <v>1.3</v>
      </c>
      <c r="D18" s="304"/>
    </row>
    <row r="19" spans="1:10" s="304" customFormat="1" x14ac:dyDescent="0.2">
      <c r="B19" s="15"/>
      <c r="C19" s="16"/>
      <c r="H19" s="306"/>
      <c r="I19" s="306"/>
      <c r="J19" s="311"/>
    </row>
    <row r="22" spans="1:10" ht="44.25" customHeight="1" x14ac:dyDescent="0.55000000000000004">
      <c r="A22" s="319"/>
      <c r="B22" s="320" t="s">
        <v>278</v>
      </c>
      <c r="C22" s="320" t="s">
        <v>279</v>
      </c>
      <c r="D22" s="320" t="s">
        <v>275</v>
      </c>
      <c r="E22" s="320" t="s">
        <v>280</v>
      </c>
      <c r="F22" s="321" t="s">
        <v>395</v>
      </c>
      <c r="G22" s="321" t="s">
        <v>111</v>
      </c>
      <c r="H22" s="322" t="s">
        <v>282</v>
      </c>
      <c r="I22" s="322" t="s">
        <v>283</v>
      </c>
      <c r="J22" s="321" t="s">
        <v>285</v>
      </c>
    </row>
    <row r="23" spans="1:10" x14ac:dyDescent="0.2">
      <c r="B23" s="298" t="s">
        <v>113</v>
      </c>
      <c r="C23" s="288" t="s">
        <v>432</v>
      </c>
      <c r="D23" s="290">
        <v>250000</v>
      </c>
      <c r="E23" s="289" t="s">
        <v>96</v>
      </c>
      <c r="F23" s="290">
        <v>500</v>
      </c>
      <c r="G23" s="291">
        <f>D23/F23</f>
        <v>500</v>
      </c>
      <c r="H23" s="296">
        <v>0.15</v>
      </c>
      <c r="I23" s="296">
        <v>0.15</v>
      </c>
      <c r="J23" s="299" t="s">
        <v>454</v>
      </c>
    </row>
    <row r="24" spans="1:10" ht="25.5" x14ac:dyDescent="0.2">
      <c r="B24" s="298" t="s">
        <v>113</v>
      </c>
      <c r="C24" s="288" t="s">
        <v>452</v>
      </c>
      <c r="D24" s="290">
        <v>225000</v>
      </c>
      <c r="E24" s="289" t="s">
        <v>96</v>
      </c>
      <c r="F24" s="290">
        <v>500</v>
      </c>
      <c r="G24" s="291">
        <f t="shared" ref="G24:G28" si="0">D24/F24</f>
        <v>450</v>
      </c>
      <c r="H24" s="296">
        <v>0.15</v>
      </c>
      <c r="I24" s="296">
        <v>0.15</v>
      </c>
      <c r="J24" s="299" t="s">
        <v>60</v>
      </c>
    </row>
    <row r="25" spans="1:10" x14ac:dyDescent="0.2">
      <c r="B25" s="298" t="s">
        <v>113</v>
      </c>
      <c r="C25" s="288" t="s">
        <v>389</v>
      </c>
      <c r="D25" s="290">
        <v>350000</v>
      </c>
      <c r="E25" s="289" t="s">
        <v>96</v>
      </c>
      <c r="F25" s="290">
        <v>1000</v>
      </c>
      <c r="G25" s="291">
        <f t="shared" si="0"/>
        <v>350</v>
      </c>
      <c r="H25" s="296">
        <v>0.15</v>
      </c>
      <c r="I25" s="296">
        <v>0.15</v>
      </c>
      <c r="J25" s="299" t="s">
        <v>454</v>
      </c>
    </row>
    <row r="26" spans="1:10" ht="25.5" x14ac:dyDescent="0.2">
      <c r="B26" s="298" t="s">
        <v>113</v>
      </c>
      <c r="C26" s="288" t="s">
        <v>453</v>
      </c>
      <c r="D26" s="290">
        <v>300000</v>
      </c>
      <c r="E26" s="289" t="s">
        <v>96</v>
      </c>
      <c r="F26" s="290">
        <v>1000</v>
      </c>
      <c r="G26" s="291">
        <f t="shared" si="0"/>
        <v>300</v>
      </c>
      <c r="H26" s="296">
        <v>0.15</v>
      </c>
      <c r="I26" s="296">
        <v>0.15</v>
      </c>
      <c r="J26" s="299" t="s">
        <v>60</v>
      </c>
    </row>
    <row r="27" spans="1:10" ht="51" x14ac:dyDescent="0.2">
      <c r="B27" s="298" t="s">
        <v>113</v>
      </c>
      <c r="C27" s="288" t="s">
        <v>191</v>
      </c>
      <c r="D27" s="290">
        <v>500</v>
      </c>
      <c r="E27" s="289" t="s">
        <v>101</v>
      </c>
      <c r="F27" s="290">
        <v>1</v>
      </c>
      <c r="G27" s="291">
        <f t="shared" si="0"/>
        <v>500</v>
      </c>
      <c r="H27" s="296">
        <v>0.15</v>
      </c>
      <c r="I27" s="296">
        <v>0.15</v>
      </c>
      <c r="J27" s="299" t="s">
        <v>193</v>
      </c>
    </row>
    <row r="28" spans="1:10" ht="25.5" x14ac:dyDescent="0.2">
      <c r="B28" s="298" t="s">
        <v>192</v>
      </c>
      <c r="C28" s="288" t="s">
        <v>194</v>
      </c>
      <c r="D28" s="290">
        <v>300</v>
      </c>
      <c r="E28" s="289" t="s">
        <v>101</v>
      </c>
      <c r="F28" s="290">
        <v>1</v>
      </c>
      <c r="G28" s="291">
        <f t="shared" si="0"/>
        <v>300</v>
      </c>
      <c r="H28" s="296">
        <v>0.15</v>
      </c>
      <c r="I28" s="296">
        <v>0.15</v>
      </c>
      <c r="J28" s="299"/>
    </row>
    <row r="29" spans="1:10" x14ac:dyDescent="0.2">
      <c r="B29" s="323" t="s">
        <v>288</v>
      </c>
      <c r="C29" s="324"/>
      <c r="D29" s="325"/>
      <c r="E29" s="325"/>
      <c r="F29" s="325"/>
      <c r="G29" s="325"/>
      <c r="H29" s="326"/>
      <c r="I29" s="326"/>
      <c r="J29" s="341"/>
    </row>
    <row r="32" spans="1:10" x14ac:dyDescent="0.2">
      <c r="B32" s="6" t="s">
        <v>302</v>
      </c>
    </row>
    <row r="33" spans="1:10" ht="15" x14ac:dyDescent="0.2">
      <c r="A33" s="307"/>
      <c r="B33" s="913" t="s">
        <v>305</v>
      </c>
      <c r="C33" s="914"/>
      <c r="D33" s="915"/>
      <c r="J33" s="60"/>
    </row>
    <row r="34" spans="1:10" x14ac:dyDescent="0.2">
      <c r="B34" s="80" t="s">
        <v>4</v>
      </c>
      <c r="C34" s="81">
        <v>0.15</v>
      </c>
      <c r="D34" s="91"/>
      <c r="J34" s="60"/>
    </row>
    <row r="35" spans="1:10" ht="15" x14ac:dyDescent="0.2">
      <c r="A35" s="307"/>
      <c r="B35" s="913" t="s">
        <v>304</v>
      </c>
      <c r="C35" s="914"/>
      <c r="D35" s="915"/>
    </row>
    <row r="36" spans="1:10" x14ac:dyDescent="0.2">
      <c r="A36" s="308"/>
      <c r="B36" s="77" t="s">
        <v>3</v>
      </c>
      <c r="C36" s="78">
        <v>0.3</v>
      </c>
      <c r="D36" s="79"/>
    </row>
    <row r="37" spans="1:10" ht="54" customHeight="1" x14ac:dyDescent="0.2">
      <c r="A37" s="308"/>
      <c r="B37" s="83" t="s">
        <v>562</v>
      </c>
      <c r="C37" s="84">
        <v>0.5</v>
      </c>
      <c r="D37" s="86"/>
    </row>
    <row r="38" spans="1:10" ht="15" x14ac:dyDescent="0.2">
      <c r="A38" s="307"/>
      <c r="B38" s="913" t="s">
        <v>301</v>
      </c>
      <c r="C38" s="914"/>
      <c r="D38" s="915"/>
      <c r="J38" s="60"/>
    </row>
    <row r="39" spans="1:10" x14ac:dyDescent="0.2">
      <c r="B39" s="80" t="s">
        <v>11</v>
      </c>
      <c r="C39" s="81">
        <v>0</v>
      </c>
      <c r="D39" s="82" t="s">
        <v>449</v>
      </c>
      <c r="J39" s="60"/>
    </row>
    <row r="40" spans="1:10" ht="15" x14ac:dyDescent="0.2">
      <c r="A40" s="307"/>
      <c r="B40" s="913" t="s">
        <v>300</v>
      </c>
      <c r="C40" s="914"/>
      <c r="D40" s="915"/>
      <c r="J40" s="60"/>
    </row>
    <row r="41" spans="1:10" x14ac:dyDescent="0.2">
      <c r="B41" s="77" t="s">
        <v>143</v>
      </c>
      <c r="C41" s="78">
        <v>0</v>
      </c>
      <c r="D41" s="655"/>
      <c r="J41" s="60"/>
    </row>
    <row r="42" spans="1:10" x14ac:dyDescent="0.2">
      <c r="B42" s="80" t="s">
        <v>5</v>
      </c>
      <c r="C42" s="81">
        <v>0</v>
      </c>
      <c r="D42" s="82"/>
      <c r="J42" s="60"/>
    </row>
    <row r="43" spans="1:10" x14ac:dyDescent="0.2">
      <c r="B43" s="80" t="s">
        <v>450</v>
      </c>
      <c r="C43" s="81">
        <v>0</v>
      </c>
      <c r="D43" s="82"/>
      <c r="J43" s="60"/>
    </row>
    <row r="44" spans="1:10" x14ac:dyDescent="0.2">
      <c r="B44" s="83" t="s">
        <v>141</v>
      </c>
      <c r="C44" s="84">
        <v>0.5</v>
      </c>
      <c r="D44" s="86"/>
      <c r="J44" s="60"/>
    </row>
    <row r="45" spans="1:10" x14ac:dyDescent="0.2">
      <c r="B45" s="73"/>
      <c r="C45" s="74"/>
      <c r="D45" s="663"/>
      <c r="J45" s="60"/>
    </row>
  </sheetData>
  <sheetProtection password="CF18" sheet="1" objects="1"/>
  <mergeCells count="4">
    <mergeCell ref="B35:D35"/>
    <mergeCell ref="B33:D33"/>
    <mergeCell ref="B40:D40"/>
    <mergeCell ref="B38:D38"/>
  </mergeCells>
  <phoneticPr fontId="2" type="noConversion"/>
  <conditionalFormatting sqref="B23:J28">
    <cfRule type="expression" dxfId="10" priority="1" stopIfTrue="1">
      <formula>AND(COLUMN()=COLUMN($B23),$B23=OFFSET($B23,-1,0))</formula>
    </cfRule>
    <cfRule type="expression" dxfId="9" priority="2" stopIfTrue="1">
      <formula>$B23&lt;&gt;OFFSET($B23,-1,0)</formula>
    </cfRule>
  </conditionalFormatting>
  <dataValidations count="1">
    <dataValidation type="list" allowBlank="1" showInputMessage="1" showErrorMessage="1" sqref="E23:E28">
      <formula1>typeIndexSm</formula1>
    </dataValidation>
  </dataValidations>
  <hyperlinks>
    <hyperlink ref="D2" location="'Медиа-Заявка'!R290C3" tooltip="Вернуться на медиа-заявку" display="'Медиа-Заявка'!R290C3"/>
  </hyperlinks>
  <pageMargins left="0.75" right="0.75" top="1" bottom="1" header="0.5" footer="0.5"/>
  <pageSetup paperSize="9" scale="57" orientation="landscape" r:id="rId1"/>
  <headerFooter alignWithMargins="0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J42"/>
  <sheetViews>
    <sheetView showGridLines="0" zoomScale="80" zoomScaleNormal="80" workbookViewId="0"/>
  </sheetViews>
  <sheetFormatPr defaultColWidth="9.140625" defaultRowHeight="12.75" x14ac:dyDescent="0.2"/>
  <cols>
    <col min="1" max="1" width="2.5703125" style="60" customWidth="1"/>
    <col min="2" max="2" width="33" style="60" customWidth="1"/>
    <col min="3" max="3" width="57.140625" style="60" customWidth="1"/>
    <col min="4" max="7" width="15.7109375" style="60" customWidth="1"/>
    <col min="8" max="9" width="15.7109375" style="253" customWidth="1"/>
    <col min="10" max="10" width="43.42578125" style="310" customWidth="1"/>
    <col min="11" max="11" width="10.28515625" style="60" customWidth="1"/>
    <col min="12" max="16384" width="9.140625" style="60"/>
  </cols>
  <sheetData>
    <row r="1" spans="2:10" x14ac:dyDescent="0.2">
      <c r="J1" s="253"/>
    </row>
    <row r="2" spans="2:10" ht="18" x14ac:dyDescent="0.2">
      <c r="B2" s="12" t="s">
        <v>563</v>
      </c>
      <c r="C2" s="12"/>
      <c r="D2" s="574" t="str">
        <f>currentVersion</f>
        <v>Версия прайс-листа: 23.09.2013</v>
      </c>
    </row>
    <row r="3" spans="2:10" x14ac:dyDescent="0.2">
      <c r="B3" s="3" t="s">
        <v>198</v>
      </c>
      <c r="C3" s="4"/>
    </row>
    <row r="5" spans="2:10" x14ac:dyDescent="0.2">
      <c r="B5" s="6" t="s">
        <v>303</v>
      </c>
      <c r="C5" s="4"/>
      <c r="D5" s="4"/>
      <c r="E5" s="4"/>
    </row>
    <row r="6" spans="2:10" x14ac:dyDescent="0.2">
      <c r="B6" s="328" t="s">
        <v>89</v>
      </c>
      <c r="C6" s="328" t="s">
        <v>286</v>
      </c>
    </row>
    <row r="7" spans="2:10" x14ac:dyDescent="0.2">
      <c r="B7" s="9" t="s">
        <v>79</v>
      </c>
      <c r="C7" s="285">
        <v>0.8</v>
      </c>
      <c r="D7" s="304"/>
    </row>
    <row r="8" spans="2:10" x14ac:dyDescent="0.2">
      <c r="B8" s="10" t="s">
        <v>80</v>
      </c>
      <c r="C8" s="286">
        <v>0.9</v>
      </c>
      <c r="D8" s="304"/>
    </row>
    <row r="9" spans="2:10" x14ac:dyDescent="0.2">
      <c r="B9" s="10" t="s">
        <v>81</v>
      </c>
      <c r="C9" s="286">
        <v>1</v>
      </c>
      <c r="D9" s="304"/>
    </row>
    <row r="10" spans="2:10" x14ac:dyDescent="0.2">
      <c r="B10" s="10" t="s">
        <v>82</v>
      </c>
      <c r="C10" s="286">
        <v>1</v>
      </c>
      <c r="D10" s="304"/>
    </row>
    <row r="11" spans="2:10" x14ac:dyDescent="0.2">
      <c r="B11" s="10" t="s">
        <v>83</v>
      </c>
      <c r="C11" s="286">
        <v>1</v>
      </c>
      <c r="D11" s="304"/>
    </row>
    <row r="12" spans="2:10" x14ac:dyDescent="0.2">
      <c r="B12" s="10" t="s">
        <v>84</v>
      </c>
      <c r="C12" s="286">
        <v>1</v>
      </c>
      <c r="D12" s="304"/>
    </row>
    <row r="13" spans="2:10" x14ac:dyDescent="0.2">
      <c r="B13" s="10" t="s">
        <v>85</v>
      </c>
      <c r="C13" s="286">
        <v>0.9</v>
      </c>
      <c r="D13" s="304"/>
    </row>
    <row r="14" spans="2:10" x14ac:dyDescent="0.2">
      <c r="B14" s="10" t="s">
        <v>74</v>
      </c>
      <c r="C14" s="286">
        <v>0.9</v>
      </c>
      <c r="D14" s="304"/>
      <c r="E14" s="305"/>
    </row>
    <row r="15" spans="2:10" x14ac:dyDescent="0.2">
      <c r="B15" s="10" t="s">
        <v>75</v>
      </c>
      <c r="C15" s="286">
        <v>1.3</v>
      </c>
      <c r="D15" s="304"/>
      <c r="E15" s="305"/>
    </row>
    <row r="16" spans="2:10" x14ac:dyDescent="0.2">
      <c r="B16" s="10" t="s">
        <v>86</v>
      </c>
      <c r="C16" s="286">
        <v>1.3</v>
      </c>
      <c r="D16" s="304"/>
      <c r="E16" s="305"/>
    </row>
    <row r="17" spans="1:10" x14ac:dyDescent="0.2">
      <c r="B17" s="10" t="s">
        <v>87</v>
      </c>
      <c r="C17" s="286">
        <v>1.3</v>
      </c>
      <c r="D17" s="304"/>
      <c r="E17" s="305"/>
    </row>
    <row r="18" spans="1:10" x14ac:dyDescent="0.2">
      <c r="B18" s="11" t="s">
        <v>88</v>
      </c>
      <c r="C18" s="287">
        <v>1.3</v>
      </c>
      <c r="D18" s="304"/>
    </row>
    <row r="19" spans="1:10" s="304" customFormat="1" x14ac:dyDescent="0.2">
      <c r="B19" s="15"/>
      <c r="C19" s="16"/>
      <c r="H19" s="306"/>
      <c r="I19" s="306"/>
      <c r="J19" s="311"/>
    </row>
    <row r="22" spans="1:10" ht="44.25" customHeight="1" x14ac:dyDescent="0.55000000000000004">
      <c r="A22" s="319"/>
      <c r="B22" s="320" t="s">
        <v>278</v>
      </c>
      <c r="C22" s="320" t="s">
        <v>279</v>
      </c>
      <c r="D22" s="320" t="s">
        <v>275</v>
      </c>
      <c r="E22" s="320" t="s">
        <v>280</v>
      </c>
      <c r="F22" s="321" t="s">
        <v>395</v>
      </c>
      <c r="G22" s="321" t="s">
        <v>111</v>
      </c>
      <c r="H22" s="322" t="s">
        <v>282</v>
      </c>
      <c r="I22" s="322" t="s">
        <v>283</v>
      </c>
      <c r="J22" s="321" t="s">
        <v>285</v>
      </c>
    </row>
    <row r="23" spans="1:10" ht="38.25" x14ac:dyDescent="0.2">
      <c r="B23" s="298" t="s">
        <v>760</v>
      </c>
      <c r="C23" s="288" t="s">
        <v>564</v>
      </c>
      <c r="D23" s="290">
        <v>420000</v>
      </c>
      <c r="E23" s="289" t="s">
        <v>96</v>
      </c>
      <c r="F23" s="290">
        <v>1200</v>
      </c>
      <c r="G23" s="291">
        <f>D23/F23</f>
        <v>350</v>
      </c>
      <c r="H23" s="296">
        <v>0.25</v>
      </c>
      <c r="I23" s="296">
        <v>0.15</v>
      </c>
      <c r="J23" s="299" t="s">
        <v>567</v>
      </c>
    </row>
    <row r="24" spans="1:10" ht="38.25" x14ac:dyDescent="0.2">
      <c r="B24" s="298" t="s">
        <v>760</v>
      </c>
      <c r="C24" s="288" t="s">
        <v>565</v>
      </c>
      <c r="D24" s="290">
        <v>200000</v>
      </c>
      <c r="E24" s="289" t="s">
        <v>96</v>
      </c>
      <c r="F24" s="290">
        <v>500</v>
      </c>
      <c r="G24" s="291">
        <f t="shared" ref="G24:G28" si="0">D24/F24</f>
        <v>400</v>
      </c>
      <c r="H24" s="296">
        <v>0.25</v>
      </c>
      <c r="I24" s="296">
        <v>0.15</v>
      </c>
      <c r="J24" s="299" t="s">
        <v>567</v>
      </c>
    </row>
    <row r="25" spans="1:10" ht="38.25" x14ac:dyDescent="0.2">
      <c r="B25" s="298" t="s">
        <v>760</v>
      </c>
      <c r="C25" s="288" t="s">
        <v>566</v>
      </c>
      <c r="D25" s="290">
        <v>450</v>
      </c>
      <c r="E25" s="289" t="s">
        <v>101</v>
      </c>
      <c r="F25" s="290">
        <v>1</v>
      </c>
      <c r="G25" s="291">
        <f t="shared" si="0"/>
        <v>450</v>
      </c>
      <c r="H25" s="296">
        <v>0.25</v>
      </c>
      <c r="I25" s="296">
        <v>0.15</v>
      </c>
      <c r="J25" s="299" t="s">
        <v>567</v>
      </c>
    </row>
    <row r="26" spans="1:10" ht="38.25" x14ac:dyDescent="0.2">
      <c r="B26" s="298" t="s">
        <v>760</v>
      </c>
      <c r="C26" s="288" t="s">
        <v>568</v>
      </c>
      <c r="D26" s="290">
        <v>225000</v>
      </c>
      <c r="E26" s="289" t="s">
        <v>96</v>
      </c>
      <c r="F26" s="290">
        <v>500</v>
      </c>
      <c r="G26" s="291">
        <f t="shared" si="0"/>
        <v>450</v>
      </c>
      <c r="H26" s="296">
        <v>0.25</v>
      </c>
      <c r="I26" s="296">
        <v>0.15</v>
      </c>
      <c r="J26" s="299"/>
    </row>
    <row r="27" spans="1:10" ht="38.25" x14ac:dyDescent="0.2">
      <c r="B27" s="298" t="s">
        <v>760</v>
      </c>
      <c r="C27" s="288" t="s">
        <v>569</v>
      </c>
      <c r="D27" s="290">
        <v>500</v>
      </c>
      <c r="E27" s="289" t="s">
        <v>101</v>
      </c>
      <c r="F27" s="290">
        <v>1</v>
      </c>
      <c r="G27" s="291">
        <f t="shared" si="0"/>
        <v>500</v>
      </c>
      <c r="H27" s="296">
        <v>0.25</v>
      </c>
      <c r="I27" s="296">
        <v>0.15</v>
      </c>
      <c r="J27" s="299"/>
    </row>
    <row r="28" spans="1:10" ht="38.25" x14ac:dyDescent="0.2">
      <c r="B28" s="298" t="s">
        <v>760</v>
      </c>
      <c r="C28" s="288" t="s">
        <v>570</v>
      </c>
      <c r="D28" s="290">
        <v>400</v>
      </c>
      <c r="E28" s="289" t="s">
        <v>101</v>
      </c>
      <c r="F28" s="290">
        <v>1</v>
      </c>
      <c r="G28" s="291">
        <f t="shared" si="0"/>
        <v>400</v>
      </c>
      <c r="H28" s="296">
        <v>0.25</v>
      </c>
      <c r="I28" s="296">
        <v>0.15</v>
      </c>
      <c r="J28" s="299"/>
    </row>
    <row r="29" spans="1:10" x14ac:dyDescent="0.2">
      <c r="B29" s="323" t="s">
        <v>288</v>
      </c>
      <c r="C29" s="324"/>
      <c r="D29" s="325"/>
      <c r="E29" s="325"/>
      <c r="F29" s="325"/>
      <c r="G29" s="325"/>
      <c r="H29" s="326"/>
      <c r="I29" s="326"/>
      <c r="J29" s="341"/>
    </row>
    <row r="32" spans="1:10" x14ac:dyDescent="0.2">
      <c r="B32" s="6" t="s">
        <v>302</v>
      </c>
    </row>
    <row r="33" spans="1:10" ht="15" x14ac:dyDescent="0.2">
      <c r="A33" s="307"/>
      <c r="B33" s="913" t="s">
        <v>304</v>
      </c>
      <c r="C33" s="914"/>
      <c r="D33" s="915"/>
    </row>
    <row r="34" spans="1:10" x14ac:dyDescent="0.2">
      <c r="A34" s="308"/>
      <c r="B34" s="77" t="s">
        <v>3</v>
      </c>
      <c r="C34" s="78">
        <v>0.3</v>
      </c>
      <c r="D34" s="79"/>
    </row>
    <row r="35" spans="1:10" ht="54" customHeight="1" x14ac:dyDescent="0.2">
      <c r="A35" s="308"/>
      <c r="B35" s="83" t="s">
        <v>562</v>
      </c>
      <c r="C35" s="84">
        <v>0.5</v>
      </c>
      <c r="D35" s="86"/>
    </row>
    <row r="36" spans="1:10" ht="15" x14ac:dyDescent="0.2">
      <c r="A36" s="307"/>
      <c r="B36" s="913" t="s">
        <v>300</v>
      </c>
      <c r="C36" s="914"/>
      <c r="D36" s="915"/>
      <c r="J36" s="60"/>
    </row>
    <row r="37" spans="1:10" x14ac:dyDescent="0.2">
      <c r="B37" s="77" t="s">
        <v>143</v>
      </c>
      <c r="C37" s="78">
        <v>0</v>
      </c>
      <c r="D37" s="655"/>
      <c r="J37" s="60"/>
    </row>
    <row r="38" spans="1:10" x14ac:dyDescent="0.2">
      <c r="B38" s="80" t="s">
        <v>5</v>
      </c>
      <c r="C38" s="81">
        <v>0</v>
      </c>
      <c r="D38" s="82"/>
      <c r="J38" s="60"/>
    </row>
    <row r="39" spans="1:10" x14ac:dyDescent="0.2">
      <c r="B39" s="80" t="s">
        <v>450</v>
      </c>
      <c r="C39" s="81">
        <v>0</v>
      </c>
      <c r="D39" s="82"/>
      <c r="J39" s="60"/>
    </row>
    <row r="40" spans="1:10" x14ac:dyDescent="0.2">
      <c r="B40" s="80" t="s">
        <v>140</v>
      </c>
      <c r="C40" s="81" t="s">
        <v>580</v>
      </c>
      <c r="D40" s="780" t="s">
        <v>581</v>
      </c>
      <c r="J40" s="60"/>
    </row>
    <row r="41" spans="1:10" x14ac:dyDescent="0.2">
      <c r="B41" s="83" t="s">
        <v>141</v>
      </c>
      <c r="C41" s="84">
        <v>0.5</v>
      </c>
      <c r="D41" s="781" t="s">
        <v>579</v>
      </c>
      <c r="J41" s="60"/>
    </row>
    <row r="42" spans="1:10" x14ac:dyDescent="0.2">
      <c r="B42" s="73"/>
      <c r="C42" s="74"/>
      <c r="D42" s="666"/>
      <c r="J42" s="60"/>
    </row>
  </sheetData>
  <sheetProtection password="CF18" sheet="1" objects="1"/>
  <mergeCells count="2">
    <mergeCell ref="B33:D33"/>
    <mergeCell ref="B36:D36"/>
  </mergeCells>
  <conditionalFormatting sqref="B23:J28">
    <cfRule type="expression" dxfId="8" priority="1" stopIfTrue="1">
      <formula>AND(COLUMN()=COLUMN($B23),$B23=OFFSET($B23,-1,0))</formula>
    </cfRule>
    <cfRule type="expression" dxfId="7" priority="2" stopIfTrue="1">
      <formula>$B23&lt;&gt;OFFSET($B23,-1,0)</formula>
    </cfRule>
  </conditionalFormatting>
  <dataValidations count="1">
    <dataValidation type="list" allowBlank="1" showInputMessage="1" showErrorMessage="1" sqref="E23:E28">
      <formula1>typeIndexSm</formula1>
    </dataValidation>
  </dataValidations>
  <hyperlinks>
    <hyperlink ref="D2" location="'Медиа-Заявка'!R297C3" tooltip="Вернуться на медиа-заявку" display="'Медиа-Заявка'!R297C3"/>
  </hyperlinks>
  <pageMargins left="0.75" right="0.75" top="1" bottom="1" header="0.5" footer="0.5"/>
  <pageSetup paperSize="9" scale="57" orientation="landscape" r:id="rId1"/>
  <headerFooter alignWithMargins="0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rgb="FF92D050"/>
    <pageSetUpPr fitToPage="1"/>
  </sheetPr>
  <dimension ref="A1:J44"/>
  <sheetViews>
    <sheetView showGridLines="0" zoomScale="80" zoomScaleNormal="80" workbookViewId="0"/>
  </sheetViews>
  <sheetFormatPr defaultColWidth="9.140625" defaultRowHeight="12.75" x14ac:dyDescent="0.2"/>
  <cols>
    <col min="1" max="1" width="2.5703125" style="60" customWidth="1"/>
    <col min="2" max="2" width="33" style="60" customWidth="1"/>
    <col min="3" max="3" width="57.140625" style="60" customWidth="1"/>
    <col min="4" max="7" width="15.7109375" style="60" customWidth="1"/>
    <col min="8" max="9" width="15.7109375" style="253" customWidth="1"/>
    <col min="10" max="10" width="43.42578125" style="60" customWidth="1"/>
    <col min="11" max="11" width="10.28515625" style="60" customWidth="1"/>
    <col min="12" max="16384" width="9.140625" style="60"/>
  </cols>
  <sheetData>
    <row r="1" spans="2:10" x14ac:dyDescent="0.2">
      <c r="J1" s="253"/>
    </row>
    <row r="2" spans="2:10" ht="18" x14ac:dyDescent="0.2">
      <c r="B2" s="76" t="s">
        <v>21</v>
      </c>
      <c r="C2" s="12"/>
      <c r="D2" s="574" t="str">
        <f>СПЛИТ!$B$3</f>
        <v>Версия прайс-листа: 23.09.2013</v>
      </c>
    </row>
    <row r="3" spans="2:10" x14ac:dyDescent="0.2">
      <c r="B3" s="3" t="s">
        <v>198</v>
      </c>
      <c r="C3" s="4"/>
    </row>
    <row r="5" spans="2:10" x14ac:dyDescent="0.2">
      <c r="B5" s="6" t="s">
        <v>303</v>
      </c>
      <c r="C5" s="4"/>
      <c r="D5" s="4"/>
      <c r="E5" s="4"/>
    </row>
    <row r="6" spans="2:10" x14ac:dyDescent="0.2">
      <c r="B6" s="328" t="s">
        <v>89</v>
      </c>
      <c r="C6" s="328" t="s">
        <v>286</v>
      </c>
    </row>
    <row r="7" spans="2:10" x14ac:dyDescent="0.2">
      <c r="B7" s="9" t="s">
        <v>79</v>
      </c>
      <c r="C7" s="285">
        <v>0.8</v>
      </c>
      <c r="D7" s="304"/>
    </row>
    <row r="8" spans="2:10" x14ac:dyDescent="0.2">
      <c r="B8" s="10" t="s">
        <v>80</v>
      </c>
      <c r="C8" s="286">
        <v>0.9</v>
      </c>
      <c r="D8" s="304"/>
    </row>
    <row r="9" spans="2:10" x14ac:dyDescent="0.2">
      <c r="B9" s="10" t="s">
        <v>81</v>
      </c>
      <c r="C9" s="286">
        <v>1</v>
      </c>
      <c r="D9" s="304"/>
    </row>
    <row r="10" spans="2:10" x14ac:dyDescent="0.2">
      <c r="B10" s="10" t="s">
        <v>82</v>
      </c>
      <c r="C10" s="286">
        <v>1</v>
      </c>
      <c r="D10" s="304"/>
    </row>
    <row r="11" spans="2:10" x14ac:dyDescent="0.2">
      <c r="B11" s="10" t="s">
        <v>83</v>
      </c>
      <c r="C11" s="286">
        <v>1</v>
      </c>
      <c r="D11" s="304"/>
    </row>
    <row r="12" spans="2:10" x14ac:dyDescent="0.2">
      <c r="B12" s="10" t="s">
        <v>84</v>
      </c>
      <c r="C12" s="286">
        <v>1</v>
      </c>
      <c r="D12" s="304"/>
    </row>
    <row r="13" spans="2:10" x14ac:dyDescent="0.2">
      <c r="B13" s="10" t="s">
        <v>85</v>
      </c>
      <c r="C13" s="286">
        <v>0.9</v>
      </c>
      <c r="D13" s="304"/>
    </row>
    <row r="14" spans="2:10" x14ac:dyDescent="0.2">
      <c r="B14" s="10" t="s">
        <v>74</v>
      </c>
      <c r="C14" s="286">
        <v>0.9</v>
      </c>
      <c r="D14" s="304"/>
    </row>
    <row r="15" spans="2:10" x14ac:dyDescent="0.2">
      <c r="B15" s="10" t="s">
        <v>75</v>
      </c>
      <c r="C15" s="286">
        <v>1.3</v>
      </c>
      <c r="D15" s="304"/>
    </row>
    <row r="16" spans="2:10" x14ac:dyDescent="0.2">
      <c r="B16" s="10" t="s">
        <v>86</v>
      </c>
      <c r="C16" s="286">
        <v>1.3</v>
      </c>
      <c r="D16" s="304"/>
    </row>
    <row r="17" spans="1:10" x14ac:dyDescent="0.2">
      <c r="B17" s="10" t="s">
        <v>87</v>
      </c>
      <c r="C17" s="286">
        <v>1.3</v>
      </c>
      <c r="D17" s="304"/>
    </row>
    <row r="18" spans="1:10" x14ac:dyDescent="0.2">
      <c r="B18" s="11" t="s">
        <v>88</v>
      </c>
      <c r="C18" s="287">
        <v>1.3</v>
      </c>
      <c r="D18" s="304"/>
    </row>
    <row r="19" spans="1:10" s="304" customFormat="1" x14ac:dyDescent="0.2">
      <c r="B19" s="15"/>
      <c r="C19" s="16"/>
      <c r="H19" s="306"/>
      <c r="I19" s="306"/>
    </row>
    <row r="22" spans="1:10" ht="44.25" customHeight="1" x14ac:dyDescent="0.55000000000000004">
      <c r="A22" s="319"/>
      <c r="B22" s="320" t="s">
        <v>278</v>
      </c>
      <c r="C22" s="320" t="s">
        <v>279</v>
      </c>
      <c r="D22" s="320" t="s">
        <v>275</v>
      </c>
      <c r="E22" s="320" t="s">
        <v>280</v>
      </c>
      <c r="F22" s="321" t="s">
        <v>395</v>
      </c>
      <c r="G22" s="321" t="s">
        <v>111</v>
      </c>
      <c r="H22" s="322" t="s">
        <v>282</v>
      </c>
      <c r="I22" s="322" t="s">
        <v>283</v>
      </c>
      <c r="J22" s="321" t="s">
        <v>285</v>
      </c>
    </row>
    <row r="23" spans="1:10" x14ac:dyDescent="0.2">
      <c r="B23" s="298" t="s">
        <v>169</v>
      </c>
      <c r="C23" s="288" t="s">
        <v>389</v>
      </c>
      <c r="D23" s="290">
        <v>200000</v>
      </c>
      <c r="E23" s="289" t="s">
        <v>96</v>
      </c>
      <c r="F23" s="290">
        <v>1000</v>
      </c>
      <c r="G23" s="291">
        <f>D23/F23</f>
        <v>200</v>
      </c>
      <c r="H23" s="296" t="s">
        <v>103</v>
      </c>
      <c r="I23" s="296" t="s">
        <v>103</v>
      </c>
      <c r="J23" s="299"/>
    </row>
    <row r="24" spans="1:10" x14ac:dyDescent="0.2">
      <c r="B24" s="298" t="s">
        <v>169</v>
      </c>
      <c r="C24" s="288" t="s">
        <v>381</v>
      </c>
      <c r="D24" s="290">
        <v>125000</v>
      </c>
      <c r="E24" s="289" t="s">
        <v>96</v>
      </c>
      <c r="F24" s="290">
        <v>500</v>
      </c>
      <c r="G24" s="291">
        <f t="shared" ref="G24:G26" si="0">D24/F24</f>
        <v>250</v>
      </c>
      <c r="H24" s="296" t="s">
        <v>136</v>
      </c>
      <c r="I24" s="296" t="s">
        <v>103</v>
      </c>
      <c r="J24" s="299" t="s">
        <v>165</v>
      </c>
    </row>
    <row r="25" spans="1:10" x14ac:dyDescent="0.2">
      <c r="B25" s="298" t="s">
        <v>169</v>
      </c>
      <c r="C25" s="288" t="s">
        <v>382</v>
      </c>
      <c r="D25" s="290">
        <v>150000</v>
      </c>
      <c r="E25" s="289" t="s">
        <v>96</v>
      </c>
      <c r="F25" s="290">
        <v>500</v>
      </c>
      <c r="G25" s="291">
        <f t="shared" si="0"/>
        <v>300</v>
      </c>
      <c r="H25" s="296" t="s">
        <v>136</v>
      </c>
      <c r="I25" s="296" t="s">
        <v>103</v>
      </c>
      <c r="J25" s="299" t="s">
        <v>166</v>
      </c>
    </row>
    <row r="26" spans="1:10" x14ac:dyDescent="0.2">
      <c r="B26" s="298" t="s">
        <v>169</v>
      </c>
      <c r="C26" s="288" t="s">
        <v>383</v>
      </c>
      <c r="D26" s="290">
        <v>30000</v>
      </c>
      <c r="E26" s="289" t="s">
        <v>96</v>
      </c>
      <c r="F26" s="290">
        <v>100</v>
      </c>
      <c r="G26" s="291">
        <f t="shared" si="0"/>
        <v>300</v>
      </c>
      <c r="H26" s="296" t="s">
        <v>136</v>
      </c>
      <c r="I26" s="296" t="s">
        <v>103</v>
      </c>
      <c r="J26" s="299" t="s">
        <v>167</v>
      </c>
    </row>
    <row r="27" spans="1:10" x14ac:dyDescent="0.2">
      <c r="B27" s="323" t="s">
        <v>288</v>
      </c>
      <c r="C27" s="324"/>
      <c r="D27" s="325"/>
      <c r="E27" s="325"/>
      <c r="F27" s="325"/>
      <c r="G27" s="325"/>
      <c r="H27" s="326"/>
      <c r="I27" s="326"/>
      <c r="J27" s="327"/>
    </row>
    <row r="30" spans="1:10" x14ac:dyDescent="0.2">
      <c r="B30" s="6" t="s">
        <v>302</v>
      </c>
    </row>
    <row r="31" spans="1:10" ht="15" x14ac:dyDescent="0.2">
      <c r="A31" s="307"/>
      <c r="B31" s="913" t="s">
        <v>305</v>
      </c>
      <c r="C31" s="914"/>
      <c r="D31" s="915"/>
    </row>
    <row r="32" spans="1:10" x14ac:dyDescent="0.2">
      <c r="A32" s="308"/>
      <c r="B32" s="61" t="s">
        <v>4</v>
      </c>
      <c r="C32" s="62">
        <v>0.15</v>
      </c>
      <c r="D32" s="70"/>
    </row>
    <row r="33" spans="1:4" ht="15" x14ac:dyDescent="0.2">
      <c r="A33" s="307"/>
      <c r="B33" s="913" t="s">
        <v>304</v>
      </c>
      <c r="C33" s="914"/>
      <c r="D33" s="915"/>
    </row>
    <row r="34" spans="1:4" x14ac:dyDescent="0.2">
      <c r="A34" s="308"/>
      <c r="B34" s="77" t="s">
        <v>3</v>
      </c>
      <c r="C34" s="78">
        <v>0.3</v>
      </c>
      <c r="D34" s="79"/>
    </row>
    <row r="35" spans="1:4" ht="55.5" customHeight="1" x14ac:dyDescent="0.2">
      <c r="A35" s="308"/>
      <c r="B35" s="83" t="s">
        <v>562</v>
      </c>
      <c r="C35" s="84">
        <v>0.5</v>
      </c>
      <c r="D35" s="86"/>
    </row>
    <row r="36" spans="1:4" ht="15" x14ac:dyDescent="0.2">
      <c r="A36" s="307"/>
      <c r="B36" s="913" t="s">
        <v>301</v>
      </c>
      <c r="C36" s="914"/>
      <c r="D36" s="915"/>
    </row>
    <row r="37" spans="1:4" x14ac:dyDescent="0.2">
      <c r="A37" s="308"/>
      <c r="B37" s="88" t="s">
        <v>32</v>
      </c>
      <c r="C37" s="89">
        <v>0</v>
      </c>
      <c r="D37" s="90"/>
    </row>
    <row r="38" spans="1:4" x14ac:dyDescent="0.2">
      <c r="A38" s="308"/>
      <c r="B38" s="80" t="s">
        <v>137</v>
      </c>
      <c r="C38" s="81">
        <v>0.3</v>
      </c>
      <c r="D38" s="82"/>
    </row>
    <row r="39" spans="1:4" x14ac:dyDescent="0.2">
      <c r="B39" s="83" t="s">
        <v>138</v>
      </c>
      <c r="C39" s="84">
        <v>0</v>
      </c>
      <c r="D39" s="86"/>
    </row>
    <row r="40" spans="1:4" ht="15" x14ac:dyDescent="0.2">
      <c r="A40" s="307"/>
      <c r="B40" s="913" t="s">
        <v>300</v>
      </c>
      <c r="C40" s="914"/>
      <c r="D40" s="915"/>
    </row>
    <row r="41" spans="1:4" x14ac:dyDescent="0.2">
      <c r="A41" s="308"/>
      <c r="B41" s="77" t="s">
        <v>139</v>
      </c>
      <c r="C41" s="78">
        <v>0</v>
      </c>
      <c r="D41" s="79"/>
    </row>
    <row r="42" spans="1:4" x14ac:dyDescent="0.2">
      <c r="A42" s="308"/>
      <c r="B42" s="80" t="s">
        <v>9</v>
      </c>
      <c r="C42" s="81">
        <v>0</v>
      </c>
      <c r="D42" s="82"/>
    </row>
    <row r="43" spans="1:4" x14ac:dyDescent="0.2">
      <c r="B43" s="80" t="s">
        <v>143</v>
      </c>
      <c r="C43" s="81">
        <v>0</v>
      </c>
      <c r="D43" s="82"/>
    </row>
    <row r="44" spans="1:4" x14ac:dyDescent="0.2">
      <c r="B44" s="83" t="s">
        <v>140</v>
      </c>
      <c r="C44" s="84" t="s">
        <v>51</v>
      </c>
      <c r="D44" s="86"/>
    </row>
  </sheetData>
  <sheetProtection password="CF18" sheet="1" objects="1"/>
  <mergeCells count="4">
    <mergeCell ref="B36:D36"/>
    <mergeCell ref="B40:D40"/>
    <mergeCell ref="B31:D31"/>
    <mergeCell ref="B33:D33"/>
  </mergeCells>
  <phoneticPr fontId="2" type="noConversion"/>
  <conditionalFormatting sqref="B23:J26">
    <cfRule type="expression" dxfId="6" priority="1" stopIfTrue="1">
      <formula>AND(COLUMN()=COLUMN($B23),$B23=OFFSET($B23,-1,0))</formula>
    </cfRule>
    <cfRule type="expression" dxfId="5" priority="2" stopIfTrue="1">
      <formula>$B23&lt;&gt;OFFSET($B23,-1,0)</formula>
    </cfRule>
  </conditionalFormatting>
  <dataValidations count="1">
    <dataValidation type="list" allowBlank="1" showInputMessage="1" showErrorMessage="1" sqref="E23:E26">
      <formula1>typeIndexSm</formula1>
    </dataValidation>
  </dataValidations>
  <hyperlinks>
    <hyperlink ref="D2" location="'Медиа-Заявка'!R304C3" tooltip="Вернуться на медиа-заявку" display="'Медиа-Заявка'!R304C3"/>
  </hyperlinks>
  <pageMargins left="0.75" right="0.75" top="1" bottom="1" header="0.5" footer="0.5"/>
  <pageSetup paperSize="9" scale="57" orientation="landscape" r:id="rId1"/>
  <headerFooter alignWithMargins="0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7">
    <tabColor rgb="FF92D050"/>
    <pageSetUpPr fitToPage="1"/>
  </sheetPr>
  <dimension ref="A1:J56"/>
  <sheetViews>
    <sheetView showGridLines="0" zoomScale="80" zoomScaleNormal="80" workbookViewId="0"/>
  </sheetViews>
  <sheetFormatPr defaultColWidth="9.140625" defaultRowHeight="12.75" x14ac:dyDescent="0.2"/>
  <cols>
    <col min="1" max="1" width="2.5703125" style="60" customWidth="1"/>
    <col min="2" max="2" width="33" style="60" customWidth="1"/>
    <col min="3" max="3" width="57.140625" style="60" customWidth="1"/>
    <col min="4" max="7" width="15.7109375" style="60" customWidth="1"/>
    <col min="8" max="9" width="15.7109375" style="253" customWidth="1"/>
    <col min="10" max="10" width="50" style="60" customWidth="1"/>
    <col min="11" max="11" width="10.28515625" style="60" customWidth="1"/>
    <col min="12" max="16384" width="9.140625" style="60"/>
  </cols>
  <sheetData>
    <row r="1" spans="2:10" x14ac:dyDescent="0.2">
      <c r="J1" s="253"/>
    </row>
    <row r="2" spans="2:10" ht="18" x14ac:dyDescent="0.2">
      <c r="B2" s="12" t="s">
        <v>25</v>
      </c>
      <c r="C2" s="12"/>
      <c r="D2" s="574" t="str">
        <f>СПЛИТ!$B$3</f>
        <v>Версия прайс-листа: 23.09.2013</v>
      </c>
    </row>
    <row r="3" spans="2:10" x14ac:dyDescent="0.2">
      <c r="B3" s="3" t="s">
        <v>198</v>
      </c>
      <c r="C3" s="4"/>
    </row>
    <row r="5" spans="2:10" x14ac:dyDescent="0.2">
      <c r="B5" s="6" t="s">
        <v>303</v>
      </c>
      <c r="C5" s="4"/>
      <c r="D5" s="4"/>
      <c r="E5" s="4"/>
    </row>
    <row r="6" spans="2:10" x14ac:dyDescent="0.2">
      <c r="B6" s="328" t="s">
        <v>89</v>
      </c>
      <c r="C6" s="328" t="s">
        <v>286</v>
      </c>
    </row>
    <row r="7" spans="2:10" x14ac:dyDescent="0.2">
      <c r="B7" s="9" t="s">
        <v>79</v>
      </c>
      <c r="C7" s="285">
        <v>0.8</v>
      </c>
      <c r="D7" s="304"/>
    </row>
    <row r="8" spans="2:10" x14ac:dyDescent="0.2">
      <c r="B8" s="10" t="s">
        <v>80</v>
      </c>
      <c r="C8" s="286">
        <v>0.9</v>
      </c>
      <c r="D8" s="304"/>
    </row>
    <row r="9" spans="2:10" x14ac:dyDescent="0.2">
      <c r="B9" s="10" t="s">
        <v>81</v>
      </c>
      <c r="C9" s="286">
        <v>1</v>
      </c>
      <c r="D9" s="304"/>
    </row>
    <row r="10" spans="2:10" x14ac:dyDescent="0.2">
      <c r="B10" s="10" t="s">
        <v>82</v>
      </c>
      <c r="C10" s="286">
        <v>1</v>
      </c>
      <c r="D10" s="304"/>
    </row>
    <row r="11" spans="2:10" x14ac:dyDescent="0.2">
      <c r="B11" s="10" t="s">
        <v>83</v>
      </c>
      <c r="C11" s="286">
        <v>1</v>
      </c>
      <c r="D11" s="304"/>
    </row>
    <row r="12" spans="2:10" x14ac:dyDescent="0.2">
      <c r="B12" s="10" t="s">
        <v>84</v>
      </c>
      <c r="C12" s="286">
        <v>1</v>
      </c>
      <c r="D12" s="304"/>
    </row>
    <row r="13" spans="2:10" x14ac:dyDescent="0.2">
      <c r="B13" s="10" t="s">
        <v>85</v>
      </c>
      <c r="C13" s="286">
        <v>0.9</v>
      </c>
      <c r="D13" s="304"/>
    </row>
    <row r="14" spans="2:10" x14ac:dyDescent="0.2">
      <c r="B14" s="10" t="s">
        <v>74</v>
      </c>
      <c r="C14" s="286">
        <v>0.9</v>
      </c>
      <c r="D14" s="304"/>
    </row>
    <row r="15" spans="2:10" x14ac:dyDescent="0.2">
      <c r="B15" s="10" t="s">
        <v>75</v>
      </c>
      <c r="C15" s="286">
        <v>1.3</v>
      </c>
      <c r="D15" s="304"/>
    </row>
    <row r="16" spans="2:10" x14ac:dyDescent="0.2">
      <c r="B16" s="10" t="s">
        <v>86</v>
      </c>
      <c r="C16" s="286">
        <v>1.3</v>
      </c>
      <c r="D16" s="304"/>
    </row>
    <row r="17" spans="1:10" x14ac:dyDescent="0.2">
      <c r="B17" s="10" t="s">
        <v>87</v>
      </c>
      <c r="C17" s="286">
        <v>1.3</v>
      </c>
      <c r="D17" s="304"/>
    </row>
    <row r="18" spans="1:10" x14ac:dyDescent="0.2">
      <c r="B18" s="11" t="s">
        <v>88</v>
      </c>
      <c r="C18" s="287">
        <v>1.3</v>
      </c>
      <c r="D18" s="304"/>
    </row>
    <row r="19" spans="1:10" s="304" customFormat="1" x14ac:dyDescent="0.2">
      <c r="B19" s="15"/>
      <c r="C19" s="16"/>
      <c r="H19" s="306"/>
      <c r="I19" s="306"/>
    </row>
    <row r="22" spans="1:10" ht="44.25" customHeight="1" x14ac:dyDescent="0.55000000000000004">
      <c r="A22" s="319"/>
      <c r="B22" s="320" t="s">
        <v>278</v>
      </c>
      <c r="C22" s="320" t="s">
        <v>279</v>
      </c>
      <c r="D22" s="320" t="s">
        <v>275</v>
      </c>
      <c r="E22" s="320" t="s">
        <v>280</v>
      </c>
      <c r="F22" s="321" t="s">
        <v>395</v>
      </c>
      <c r="G22" s="321" t="s">
        <v>111</v>
      </c>
      <c r="H22" s="322" t="s">
        <v>282</v>
      </c>
      <c r="I22" s="322" t="s">
        <v>283</v>
      </c>
      <c r="J22" s="321" t="s">
        <v>285</v>
      </c>
    </row>
    <row r="23" spans="1:10" x14ac:dyDescent="0.2">
      <c r="B23" s="298" t="s">
        <v>113</v>
      </c>
      <c r="C23" s="288" t="s">
        <v>117</v>
      </c>
      <c r="D23" s="290">
        <v>400</v>
      </c>
      <c r="E23" s="289" t="s">
        <v>101</v>
      </c>
      <c r="F23" s="290">
        <v>1</v>
      </c>
      <c r="G23" s="291">
        <f>D23/F23</f>
        <v>400</v>
      </c>
      <c r="H23" s="296">
        <v>0.25</v>
      </c>
      <c r="I23" s="296">
        <v>0.15</v>
      </c>
      <c r="J23" s="299"/>
    </row>
    <row r="24" spans="1:10" x14ac:dyDescent="0.2">
      <c r="B24" s="298" t="s">
        <v>113</v>
      </c>
      <c r="C24" s="288" t="s">
        <v>873</v>
      </c>
      <c r="D24" s="290">
        <v>600</v>
      </c>
      <c r="E24" s="289" t="s">
        <v>101</v>
      </c>
      <c r="F24" s="290">
        <v>1</v>
      </c>
      <c r="G24" s="291">
        <f>D24/F24</f>
        <v>600</v>
      </c>
      <c r="H24" s="296">
        <v>0.25</v>
      </c>
      <c r="I24" s="296">
        <v>0.15</v>
      </c>
      <c r="J24" s="299"/>
    </row>
    <row r="25" spans="1:10" ht="25.5" x14ac:dyDescent="0.2">
      <c r="B25" s="298" t="s">
        <v>113</v>
      </c>
      <c r="C25" s="288" t="s">
        <v>147</v>
      </c>
      <c r="D25" s="290">
        <v>220</v>
      </c>
      <c r="E25" s="289" t="s">
        <v>101</v>
      </c>
      <c r="F25" s="290">
        <v>1</v>
      </c>
      <c r="G25" s="291">
        <f>D25/F25</f>
        <v>220</v>
      </c>
      <c r="H25" s="296">
        <v>0.25</v>
      </c>
      <c r="I25" s="296">
        <v>0.15</v>
      </c>
      <c r="J25" s="299" t="s">
        <v>171</v>
      </c>
    </row>
    <row r="26" spans="1:10" x14ac:dyDescent="0.2">
      <c r="B26" s="298" t="s">
        <v>113</v>
      </c>
      <c r="C26" s="288" t="s">
        <v>212</v>
      </c>
      <c r="D26" s="290">
        <v>180000</v>
      </c>
      <c r="E26" s="289" t="s">
        <v>96</v>
      </c>
      <c r="F26" s="290">
        <v>600</v>
      </c>
      <c r="G26" s="291">
        <f t="shared" ref="G26:G39" si="0">D26/F26</f>
        <v>300</v>
      </c>
      <c r="H26" s="296">
        <v>0.25</v>
      </c>
      <c r="I26" s="296" t="s">
        <v>103</v>
      </c>
      <c r="J26" s="299" t="s">
        <v>211</v>
      </c>
    </row>
    <row r="27" spans="1:10" x14ac:dyDescent="0.2">
      <c r="B27" s="298" t="s">
        <v>113</v>
      </c>
      <c r="C27" s="288" t="s">
        <v>213</v>
      </c>
      <c r="D27" s="290">
        <v>250000</v>
      </c>
      <c r="E27" s="289" t="s">
        <v>96</v>
      </c>
      <c r="F27" s="290">
        <v>1000</v>
      </c>
      <c r="G27" s="291">
        <f t="shared" si="0"/>
        <v>250</v>
      </c>
      <c r="H27" s="296">
        <v>0.25</v>
      </c>
      <c r="I27" s="296" t="s">
        <v>103</v>
      </c>
      <c r="J27" s="299" t="s">
        <v>211</v>
      </c>
    </row>
    <row r="28" spans="1:10" x14ac:dyDescent="0.2">
      <c r="B28" s="298" t="s">
        <v>113</v>
      </c>
      <c r="C28" s="288" t="s">
        <v>871</v>
      </c>
      <c r="D28" s="290">
        <v>300000</v>
      </c>
      <c r="E28" s="289" t="s">
        <v>96</v>
      </c>
      <c r="F28" s="290">
        <v>600</v>
      </c>
      <c r="G28" s="291">
        <f t="shared" ref="G28" si="1">D28/F28</f>
        <v>500</v>
      </c>
      <c r="H28" s="296">
        <v>0.25</v>
      </c>
      <c r="I28" s="296" t="s">
        <v>103</v>
      </c>
      <c r="J28" s="299" t="s">
        <v>211</v>
      </c>
    </row>
    <row r="29" spans="1:10" x14ac:dyDescent="0.2">
      <c r="B29" s="298" t="s">
        <v>113</v>
      </c>
      <c r="C29" s="288" t="s">
        <v>872</v>
      </c>
      <c r="D29" s="290">
        <v>400000</v>
      </c>
      <c r="E29" s="289" t="s">
        <v>96</v>
      </c>
      <c r="F29" s="290">
        <v>1000</v>
      </c>
      <c r="G29" s="291">
        <f t="shared" ref="G29" si="2">D29/F29</f>
        <v>400</v>
      </c>
      <c r="H29" s="296">
        <v>0.25</v>
      </c>
      <c r="I29" s="296" t="s">
        <v>103</v>
      </c>
      <c r="J29" s="299" t="s">
        <v>211</v>
      </c>
    </row>
    <row r="30" spans="1:10" x14ac:dyDescent="0.2">
      <c r="B30" s="298" t="s">
        <v>113</v>
      </c>
      <c r="C30" s="288" t="s">
        <v>214</v>
      </c>
      <c r="D30" s="290">
        <v>170000</v>
      </c>
      <c r="E30" s="289" t="s">
        <v>96</v>
      </c>
      <c r="F30" s="290">
        <v>1000</v>
      </c>
      <c r="G30" s="291">
        <f>D30/F30</f>
        <v>170</v>
      </c>
      <c r="H30" s="296">
        <v>0.25</v>
      </c>
      <c r="I30" s="296" t="s">
        <v>103</v>
      </c>
      <c r="J30" s="299" t="s">
        <v>211</v>
      </c>
    </row>
    <row r="31" spans="1:10" x14ac:dyDescent="0.2">
      <c r="B31" s="298" t="s">
        <v>113</v>
      </c>
      <c r="C31" s="288" t="s">
        <v>605</v>
      </c>
      <c r="D31" s="290">
        <v>250000</v>
      </c>
      <c r="E31" s="289" t="s">
        <v>96</v>
      </c>
      <c r="F31" s="290">
        <v>1000</v>
      </c>
      <c r="G31" s="291">
        <f>D31/F31</f>
        <v>250</v>
      </c>
      <c r="H31" s="296">
        <v>0.25</v>
      </c>
      <c r="I31" s="296" t="s">
        <v>103</v>
      </c>
      <c r="J31" s="299" t="s">
        <v>603</v>
      </c>
    </row>
    <row r="32" spans="1:10" x14ac:dyDescent="0.2">
      <c r="B32" s="298" t="s">
        <v>113</v>
      </c>
      <c r="C32" s="288" t="s">
        <v>604</v>
      </c>
      <c r="D32" s="290">
        <v>400</v>
      </c>
      <c r="E32" s="289" t="s">
        <v>101</v>
      </c>
      <c r="F32" s="290">
        <v>1</v>
      </c>
      <c r="G32" s="291">
        <f>D32/F32</f>
        <v>400</v>
      </c>
      <c r="H32" s="296">
        <v>0.25</v>
      </c>
      <c r="I32" s="296">
        <v>0.15</v>
      </c>
      <c r="J32" s="299"/>
    </row>
    <row r="33" spans="1:10" x14ac:dyDescent="0.2">
      <c r="B33" s="298" t="s">
        <v>113</v>
      </c>
      <c r="C33" s="288" t="s">
        <v>27</v>
      </c>
      <c r="D33" s="290">
        <v>750</v>
      </c>
      <c r="E33" s="289" t="s">
        <v>101</v>
      </c>
      <c r="F33" s="290">
        <v>1</v>
      </c>
      <c r="G33" s="291">
        <f t="shared" si="0"/>
        <v>750</v>
      </c>
      <c r="H33" s="296">
        <v>0.25</v>
      </c>
      <c r="I33" s="296" t="s">
        <v>136</v>
      </c>
      <c r="J33" s="299" t="s">
        <v>28</v>
      </c>
    </row>
    <row r="34" spans="1:10" x14ac:dyDescent="0.2">
      <c r="B34" s="298" t="s">
        <v>113</v>
      </c>
      <c r="C34" s="288" t="s">
        <v>29</v>
      </c>
      <c r="D34" s="290">
        <v>750</v>
      </c>
      <c r="E34" s="289" t="s">
        <v>101</v>
      </c>
      <c r="F34" s="290">
        <v>1</v>
      </c>
      <c r="G34" s="291">
        <f t="shared" si="0"/>
        <v>750</v>
      </c>
      <c r="H34" s="296">
        <v>0.25</v>
      </c>
      <c r="I34" s="296" t="s">
        <v>136</v>
      </c>
      <c r="J34" s="299" t="s">
        <v>28</v>
      </c>
    </row>
    <row r="35" spans="1:10" x14ac:dyDescent="0.2">
      <c r="B35" s="298" t="s">
        <v>113</v>
      </c>
      <c r="C35" s="288" t="s">
        <v>30</v>
      </c>
      <c r="D35" s="290">
        <v>1500</v>
      </c>
      <c r="E35" s="289" t="s">
        <v>101</v>
      </c>
      <c r="F35" s="290">
        <v>1</v>
      </c>
      <c r="G35" s="291">
        <f t="shared" si="0"/>
        <v>1500</v>
      </c>
      <c r="H35" s="296">
        <v>0.25</v>
      </c>
      <c r="I35" s="296" t="s">
        <v>136</v>
      </c>
      <c r="J35" s="299" t="s">
        <v>31</v>
      </c>
    </row>
    <row r="36" spans="1:10" ht="25.5" x14ac:dyDescent="0.2">
      <c r="B36" s="298" t="s">
        <v>475</v>
      </c>
      <c r="C36" s="288" t="s">
        <v>477</v>
      </c>
      <c r="D36" s="290">
        <v>550</v>
      </c>
      <c r="E36" s="289" t="s">
        <v>101</v>
      </c>
      <c r="F36" s="290">
        <v>1</v>
      </c>
      <c r="G36" s="291">
        <f t="shared" ref="G36" si="3">D36/F36</f>
        <v>550</v>
      </c>
      <c r="H36" s="296">
        <v>0.25</v>
      </c>
      <c r="I36" s="296">
        <v>0.15</v>
      </c>
      <c r="J36" s="299" t="s">
        <v>478</v>
      </c>
    </row>
    <row r="37" spans="1:10" x14ac:dyDescent="0.2">
      <c r="B37" s="298" t="s">
        <v>475</v>
      </c>
      <c r="C37" s="288" t="s">
        <v>480</v>
      </c>
      <c r="D37" s="290">
        <v>300</v>
      </c>
      <c r="E37" s="289" t="s">
        <v>101</v>
      </c>
      <c r="F37" s="290">
        <v>1</v>
      </c>
      <c r="G37" s="291">
        <f t="shared" ref="G37" si="4">D37/F37</f>
        <v>300</v>
      </c>
      <c r="H37" s="296">
        <v>0.25</v>
      </c>
      <c r="I37" s="296">
        <v>0.15</v>
      </c>
      <c r="J37" s="299" t="s">
        <v>479</v>
      </c>
    </row>
    <row r="38" spans="1:10" x14ac:dyDescent="0.2">
      <c r="B38" s="298" t="s">
        <v>158</v>
      </c>
      <c r="C38" s="288" t="s">
        <v>476</v>
      </c>
      <c r="D38" s="290">
        <v>495000</v>
      </c>
      <c r="E38" s="289" t="s">
        <v>102</v>
      </c>
      <c r="F38" s="290">
        <v>1500</v>
      </c>
      <c r="G38" s="291">
        <f t="shared" si="0"/>
        <v>330</v>
      </c>
      <c r="H38" s="296" t="s">
        <v>103</v>
      </c>
      <c r="I38" s="296" t="s">
        <v>103</v>
      </c>
      <c r="J38" s="299" t="s">
        <v>162</v>
      </c>
    </row>
    <row r="39" spans="1:10" x14ac:dyDescent="0.2">
      <c r="B39" s="298" t="s">
        <v>158</v>
      </c>
      <c r="C39" s="288" t="s">
        <v>41</v>
      </c>
      <c r="D39" s="290">
        <v>675000</v>
      </c>
      <c r="E39" s="289" t="s">
        <v>102</v>
      </c>
      <c r="F39" s="290">
        <v>1500</v>
      </c>
      <c r="G39" s="291">
        <f t="shared" si="0"/>
        <v>450</v>
      </c>
      <c r="H39" s="296" t="s">
        <v>103</v>
      </c>
      <c r="I39" s="296" t="s">
        <v>103</v>
      </c>
      <c r="J39" s="299" t="s">
        <v>162</v>
      </c>
    </row>
    <row r="40" spans="1:10" x14ac:dyDescent="0.2">
      <c r="B40" s="323" t="s">
        <v>288</v>
      </c>
      <c r="C40" s="324"/>
      <c r="D40" s="325"/>
      <c r="E40" s="325"/>
      <c r="F40" s="325"/>
      <c r="G40" s="325"/>
      <c r="H40" s="326"/>
      <c r="I40" s="326"/>
      <c r="J40" s="327"/>
    </row>
    <row r="43" spans="1:10" x14ac:dyDescent="0.2">
      <c r="B43" s="6" t="s">
        <v>302</v>
      </c>
    </row>
    <row r="44" spans="1:10" ht="15" customHeight="1" x14ac:dyDescent="0.2">
      <c r="A44" s="307"/>
      <c r="B44" s="913" t="s">
        <v>304</v>
      </c>
      <c r="C44" s="914"/>
      <c r="D44" s="915"/>
    </row>
    <row r="45" spans="1:10" x14ac:dyDescent="0.2">
      <c r="A45" s="308"/>
      <c r="B45" s="77" t="s">
        <v>3</v>
      </c>
      <c r="C45" s="78">
        <v>0.3</v>
      </c>
      <c r="D45" s="79"/>
    </row>
    <row r="46" spans="1:10" ht="55.5" customHeight="1" x14ac:dyDescent="0.2">
      <c r="A46" s="308"/>
      <c r="B46" s="80" t="s">
        <v>562</v>
      </c>
      <c r="C46" s="81">
        <v>0.5</v>
      </c>
      <c r="D46" s="82"/>
    </row>
    <row r="47" spans="1:10" ht="15" x14ac:dyDescent="0.2">
      <c r="A47" s="307"/>
      <c r="B47" s="913" t="s">
        <v>301</v>
      </c>
      <c r="C47" s="914"/>
      <c r="D47" s="915"/>
    </row>
    <row r="48" spans="1:10" x14ac:dyDescent="0.2">
      <c r="A48" s="308"/>
      <c r="B48" s="88" t="s">
        <v>137</v>
      </c>
      <c r="C48" s="89">
        <v>0</v>
      </c>
      <c r="D48" s="90"/>
    </row>
    <row r="49" spans="1:4" x14ac:dyDescent="0.2">
      <c r="A49" s="308"/>
      <c r="B49" s="88" t="s">
        <v>138</v>
      </c>
      <c r="C49" s="89">
        <v>0</v>
      </c>
      <c r="D49" s="90"/>
    </row>
    <row r="50" spans="1:4" ht="15" x14ac:dyDescent="0.2">
      <c r="A50" s="307"/>
      <c r="B50" s="913" t="s">
        <v>300</v>
      </c>
      <c r="C50" s="914"/>
      <c r="D50" s="915"/>
    </row>
    <row r="51" spans="1:4" x14ac:dyDescent="0.2">
      <c r="A51" s="308"/>
      <c r="B51" s="88" t="s">
        <v>5</v>
      </c>
      <c r="C51" s="89">
        <v>0</v>
      </c>
      <c r="D51" s="90"/>
    </row>
    <row r="52" spans="1:4" x14ac:dyDescent="0.2">
      <c r="A52" s="308"/>
      <c r="B52" s="88" t="s">
        <v>26</v>
      </c>
      <c r="C52" s="89">
        <v>0</v>
      </c>
      <c r="D52" s="90"/>
    </row>
    <row r="53" spans="1:4" x14ac:dyDescent="0.2">
      <c r="A53" s="308"/>
      <c r="B53" s="88" t="s">
        <v>451</v>
      </c>
      <c r="C53" s="89">
        <v>0.5</v>
      </c>
      <c r="D53" s="90"/>
    </row>
    <row r="54" spans="1:4" x14ac:dyDescent="0.2">
      <c r="A54" s="308"/>
      <c r="B54" s="88" t="s">
        <v>37</v>
      </c>
      <c r="C54" s="89">
        <v>0</v>
      </c>
      <c r="D54" s="90"/>
    </row>
    <row r="55" spans="1:4" x14ac:dyDescent="0.2">
      <c r="A55" s="308"/>
      <c r="B55" s="88" t="s">
        <v>36</v>
      </c>
      <c r="C55" s="89" t="s">
        <v>51</v>
      </c>
      <c r="D55" s="90"/>
    </row>
    <row r="56" spans="1:4" x14ac:dyDescent="0.2">
      <c r="A56" s="308"/>
      <c r="B56" s="102" t="s">
        <v>38</v>
      </c>
      <c r="C56" s="103">
        <v>0.35</v>
      </c>
      <c r="D56" s="104"/>
    </row>
  </sheetData>
  <sheetProtection password="CF18" sheet="1" objects="1"/>
  <mergeCells count="3">
    <mergeCell ref="B47:D47"/>
    <mergeCell ref="B50:D50"/>
    <mergeCell ref="B44:D44"/>
  </mergeCells>
  <phoneticPr fontId="2" type="noConversion"/>
  <conditionalFormatting sqref="B23:J39">
    <cfRule type="expression" dxfId="4" priority="1" stopIfTrue="1">
      <formula>AND(COLUMN()=COLUMN($B23),$B23=OFFSET($B23,-1,0))</formula>
    </cfRule>
    <cfRule type="expression" dxfId="3" priority="2" stopIfTrue="1">
      <formula>$B23&lt;&gt;OFFSET($B23,-1,0)</formula>
    </cfRule>
  </conditionalFormatting>
  <dataValidations count="1">
    <dataValidation type="list" allowBlank="1" showInputMessage="1" showErrorMessage="1" sqref="E23:E39">
      <formula1>typeIndexSm</formula1>
    </dataValidation>
  </dataValidations>
  <hyperlinks>
    <hyperlink ref="D2" location="'Медиа-Заявка'!R309C3" tooltip="Вернуться на медиа-заявку" display="'Медиа-Заявка'!R309C3"/>
  </hyperlinks>
  <pageMargins left="0.75" right="0.75" top="1" bottom="1" header="0.5" footer="0.5"/>
  <pageSetup paperSize="9" scale="51" orientation="landscape" r:id="rId1"/>
  <headerFooter alignWithMargins="0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2">
    <tabColor rgb="FF92D050"/>
    <pageSetUpPr fitToPage="1"/>
  </sheetPr>
  <dimension ref="A1:K56"/>
  <sheetViews>
    <sheetView showGridLines="0" zoomScale="80" zoomScaleNormal="80" workbookViewId="0"/>
  </sheetViews>
  <sheetFormatPr defaultColWidth="9.140625" defaultRowHeight="12.75" x14ac:dyDescent="0.2"/>
  <cols>
    <col min="1" max="1" width="2.5703125" style="60" customWidth="1"/>
    <col min="2" max="2" width="33" style="60" customWidth="1"/>
    <col min="3" max="3" width="56.7109375" style="60" customWidth="1"/>
    <col min="4" max="7" width="15.7109375" style="60" customWidth="1"/>
    <col min="8" max="9" width="15.7109375" style="253" customWidth="1"/>
    <col min="10" max="10" width="15.5703125" style="637" customWidth="1"/>
    <col min="11" max="11" width="42.7109375" style="60" customWidth="1"/>
    <col min="12" max="16384" width="9.140625" style="60"/>
  </cols>
  <sheetData>
    <row r="1" spans="2:10" x14ac:dyDescent="0.2">
      <c r="J1" s="636"/>
    </row>
    <row r="2" spans="2:10" ht="18" x14ac:dyDescent="0.2">
      <c r="B2" s="76" t="s">
        <v>664</v>
      </c>
      <c r="C2" s="12"/>
      <c r="D2" s="574" t="str">
        <f>СПЛИТ!$B$3</f>
        <v>Версия прайс-листа: 23.09.2013</v>
      </c>
    </row>
    <row r="3" spans="2:10" x14ac:dyDescent="0.2">
      <c r="B3" s="3" t="s">
        <v>198</v>
      </c>
      <c r="C3" s="4"/>
    </row>
    <row r="5" spans="2:10" x14ac:dyDescent="0.2">
      <c r="B5" s="6" t="s">
        <v>303</v>
      </c>
      <c r="C5" s="4"/>
      <c r="D5" s="671"/>
      <c r="E5" s="4"/>
    </row>
    <row r="6" spans="2:10" x14ac:dyDescent="0.2">
      <c r="B6" s="328" t="s">
        <v>89</v>
      </c>
      <c r="C6" s="328" t="s">
        <v>287</v>
      </c>
      <c r="D6" s="181"/>
    </row>
    <row r="7" spans="2:10" x14ac:dyDescent="0.2">
      <c r="B7" s="9" t="s">
        <v>79</v>
      </c>
      <c r="C7" s="285">
        <v>0.8</v>
      </c>
      <c r="D7" s="181"/>
    </row>
    <row r="8" spans="2:10" x14ac:dyDescent="0.2">
      <c r="B8" s="10" t="s">
        <v>80</v>
      </c>
      <c r="C8" s="286">
        <v>0.9</v>
      </c>
      <c r="D8" s="181"/>
    </row>
    <row r="9" spans="2:10" x14ac:dyDescent="0.2">
      <c r="B9" s="10" t="s">
        <v>81</v>
      </c>
      <c r="C9" s="286">
        <v>1</v>
      </c>
      <c r="D9" s="181"/>
    </row>
    <row r="10" spans="2:10" x14ac:dyDescent="0.2">
      <c r="B10" s="10" t="s">
        <v>82</v>
      </c>
      <c r="C10" s="286">
        <v>1</v>
      </c>
      <c r="D10" s="181"/>
    </row>
    <row r="11" spans="2:10" x14ac:dyDescent="0.2">
      <c r="B11" s="10" t="s">
        <v>83</v>
      </c>
      <c r="C11" s="286">
        <v>1</v>
      </c>
      <c r="D11" s="181"/>
    </row>
    <row r="12" spans="2:10" x14ac:dyDescent="0.2">
      <c r="B12" s="10" t="s">
        <v>84</v>
      </c>
      <c r="C12" s="286">
        <v>1</v>
      </c>
      <c r="D12" s="181"/>
    </row>
    <row r="13" spans="2:10" x14ac:dyDescent="0.2">
      <c r="B13" s="10" t="s">
        <v>85</v>
      </c>
      <c r="C13" s="286">
        <v>0.9</v>
      </c>
      <c r="D13" s="181"/>
    </row>
    <row r="14" spans="2:10" x14ac:dyDescent="0.2">
      <c r="B14" s="10" t="s">
        <v>74</v>
      </c>
      <c r="C14" s="286">
        <v>0.9</v>
      </c>
      <c r="D14" s="181"/>
    </row>
    <row r="15" spans="2:10" x14ac:dyDescent="0.2">
      <c r="B15" s="10" t="s">
        <v>75</v>
      </c>
      <c r="C15" s="286">
        <v>1.3</v>
      </c>
      <c r="D15" s="181"/>
    </row>
    <row r="16" spans="2:10" x14ac:dyDescent="0.2">
      <c r="B16" s="10" t="s">
        <v>86</v>
      </c>
      <c r="C16" s="286">
        <v>1.3</v>
      </c>
      <c r="D16" s="181"/>
    </row>
    <row r="17" spans="1:11" x14ac:dyDescent="0.2">
      <c r="B17" s="10" t="s">
        <v>87</v>
      </c>
      <c r="C17" s="286">
        <v>1.3</v>
      </c>
      <c r="D17" s="181"/>
    </row>
    <row r="18" spans="1:11" x14ac:dyDescent="0.2">
      <c r="B18" s="11" t="s">
        <v>88</v>
      </c>
      <c r="C18" s="287">
        <v>1.3</v>
      </c>
      <c r="D18" s="181"/>
    </row>
    <row r="19" spans="1:11" x14ac:dyDescent="0.2">
      <c r="B19" s="343"/>
      <c r="D19" s="318"/>
    </row>
    <row r="20" spans="1:11" x14ac:dyDescent="0.2">
      <c r="B20" s="687" t="s">
        <v>534</v>
      </c>
    </row>
    <row r="22" spans="1:11" ht="44.25" customHeight="1" x14ac:dyDescent="0.55000000000000004">
      <c r="A22" s="319"/>
      <c r="B22" s="320" t="s">
        <v>278</v>
      </c>
      <c r="C22" s="320" t="s">
        <v>279</v>
      </c>
      <c r="D22" s="320" t="s">
        <v>275</v>
      </c>
      <c r="E22" s="320" t="s">
        <v>280</v>
      </c>
      <c r="F22" s="321" t="s">
        <v>395</v>
      </c>
      <c r="G22" s="320" t="s">
        <v>111</v>
      </c>
      <c r="H22" s="322" t="s">
        <v>282</v>
      </c>
      <c r="I22" s="322" t="s">
        <v>283</v>
      </c>
      <c r="J22" s="320" t="s">
        <v>284</v>
      </c>
      <c r="K22" s="321" t="s">
        <v>285</v>
      </c>
    </row>
    <row r="23" spans="1:11" ht="30" x14ac:dyDescent="0.4">
      <c r="A23" s="644"/>
      <c r="B23" s="647" t="s">
        <v>692</v>
      </c>
      <c r="C23" s="297" t="s">
        <v>667</v>
      </c>
      <c r="D23" s="290">
        <v>2100000</v>
      </c>
      <c r="E23" s="292" t="s">
        <v>96</v>
      </c>
      <c r="F23" s="293">
        <v>3500</v>
      </c>
      <c r="G23" s="291">
        <f t="shared" ref="G23:G35" si="0">D23/F23</f>
        <v>600</v>
      </c>
      <c r="H23" s="296">
        <v>0.25</v>
      </c>
      <c r="I23" s="296" t="s">
        <v>52</v>
      </c>
      <c r="J23" s="292" t="s">
        <v>393</v>
      </c>
      <c r="K23" s="333" t="s">
        <v>666</v>
      </c>
    </row>
    <row r="24" spans="1:11" ht="26.25" customHeight="1" x14ac:dyDescent="0.55000000000000004">
      <c r="A24" s="319"/>
      <c r="B24" s="647" t="s">
        <v>692</v>
      </c>
      <c r="C24" s="297" t="s">
        <v>668</v>
      </c>
      <c r="D24" s="300">
        <v>1625000</v>
      </c>
      <c r="E24" s="292" t="s">
        <v>96</v>
      </c>
      <c r="F24" s="293">
        <v>2500</v>
      </c>
      <c r="G24" s="291">
        <f t="shared" si="0"/>
        <v>650</v>
      </c>
      <c r="H24" s="296">
        <v>0.25</v>
      </c>
      <c r="I24" s="296" t="s">
        <v>52</v>
      </c>
      <c r="J24" s="292" t="s">
        <v>393</v>
      </c>
      <c r="K24" s="333" t="s">
        <v>666</v>
      </c>
    </row>
    <row r="25" spans="1:11" ht="26.25" customHeight="1" x14ac:dyDescent="0.55000000000000004">
      <c r="A25" s="319"/>
      <c r="B25" s="647" t="s">
        <v>693</v>
      </c>
      <c r="C25" s="297" t="s">
        <v>526</v>
      </c>
      <c r="D25" s="300">
        <v>1050000</v>
      </c>
      <c r="E25" s="292" t="s">
        <v>96</v>
      </c>
      <c r="F25" s="293">
        <v>1500</v>
      </c>
      <c r="G25" s="291">
        <f t="shared" si="0"/>
        <v>700</v>
      </c>
      <c r="H25" s="296">
        <v>0.25</v>
      </c>
      <c r="I25" s="296" t="s">
        <v>52</v>
      </c>
      <c r="J25" s="292" t="s">
        <v>393</v>
      </c>
      <c r="K25" s="333" t="s">
        <v>666</v>
      </c>
    </row>
    <row r="26" spans="1:11" ht="27" customHeight="1" x14ac:dyDescent="0.55000000000000004">
      <c r="A26" s="319"/>
      <c r="B26" s="647" t="s">
        <v>693</v>
      </c>
      <c r="C26" s="297" t="s">
        <v>525</v>
      </c>
      <c r="D26" s="300">
        <v>1050000</v>
      </c>
      <c r="E26" s="292" t="s">
        <v>96</v>
      </c>
      <c r="F26" s="293">
        <v>1500</v>
      </c>
      <c r="G26" s="291">
        <f t="shared" ref="G26" si="1">D26/F26</f>
        <v>700</v>
      </c>
      <c r="H26" s="296">
        <v>0.25</v>
      </c>
      <c r="I26" s="296" t="s">
        <v>52</v>
      </c>
      <c r="J26" s="292" t="s">
        <v>393</v>
      </c>
      <c r="K26" s="333" t="s">
        <v>666</v>
      </c>
    </row>
    <row r="27" spans="1:11" ht="25.5" customHeight="1" x14ac:dyDescent="0.55000000000000004">
      <c r="A27" s="319"/>
      <c r="B27" s="647" t="s">
        <v>699</v>
      </c>
      <c r="C27" s="297" t="s">
        <v>524</v>
      </c>
      <c r="D27" s="300">
        <v>700000</v>
      </c>
      <c r="E27" s="292" t="s">
        <v>96</v>
      </c>
      <c r="F27" s="293">
        <v>1000</v>
      </c>
      <c r="G27" s="291">
        <f t="shared" ref="G27" si="2">D27/F27</f>
        <v>700</v>
      </c>
      <c r="H27" s="296">
        <v>0.25</v>
      </c>
      <c r="I27" s="296" t="s">
        <v>52</v>
      </c>
      <c r="J27" s="292" t="s">
        <v>393</v>
      </c>
      <c r="K27" s="333" t="s">
        <v>666</v>
      </c>
    </row>
    <row r="28" spans="1:11" ht="26.25" customHeight="1" x14ac:dyDescent="0.55000000000000004">
      <c r="A28" s="319"/>
      <c r="B28" s="647" t="s">
        <v>743</v>
      </c>
      <c r="C28" s="297" t="s">
        <v>669</v>
      </c>
      <c r="D28" s="300">
        <v>350000</v>
      </c>
      <c r="E28" s="292" t="s">
        <v>96</v>
      </c>
      <c r="F28" s="293">
        <v>500</v>
      </c>
      <c r="G28" s="291">
        <f t="shared" ref="G28" si="3">D28/F28</f>
        <v>700</v>
      </c>
      <c r="H28" s="296">
        <v>0.25</v>
      </c>
      <c r="I28" s="296" t="s">
        <v>52</v>
      </c>
      <c r="J28" s="292" t="s">
        <v>393</v>
      </c>
      <c r="K28" s="333" t="s">
        <v>666</v>
      </c>
    </row>
    <row r="29" spans="1:11" ht="27" customHeight="1" x14ac:dyDescent="0.55000000000000004">
      <c r="A29" s="319"/>
      <c r="B29" s="806" t="s">
        <v>670</v>
      </c>
      <c r="C29" s="297" t="s">
        <v>589</v>
      </c>
      <c r="D29" s="300">
        <v>350000</v>
      </c>
      <c r="E29" s="292" t="s">
        <v>96</v>
      </c>
      <c r="F29" s="293">
        <v>500</v>
      </c>
      <c r="G29" s="291">
        <f t="shared" ref="G29" si="4">D29/F29</f>
        <v>700</v>
      </c>
      <c r="H29" s="296">
        <v>0.25</v>
      </c>
      <c r="I29" s="296" t="s">
        <v>52</v>
      </c>
      <c r="J29" s="292" t="s">
        <v>393</v>
      </c>
      <c r="K29" s="333" t="s">
        <v>666</v>
      </c>
    </row>
    <row r="30" spans="1:11" ht="19.5" customHeight="1" x14ac:dyDescent="0.55000000000000004">
      <c r="A30" s="319"/>
      <c r="B30" s="647" t="s">
        <v>670</v>
      </c>
      <c r="C30" s="297" t="s">
        <v>588</v>
      </c>
      <c r="D30" s="300">
        <v>210000</v>
      </c>
      <c r="E30" s="292" t="s">
        <v>96</v>
      </c>
      <c r="F30" s="293">
        <v>300</v>
      </c>
      <c r="G30" s="291">
        <f t="shared" ref="G30" si="5">D30/F30</f>
        <v>700</v>
      </c>
      <c r="H30" s="296">
        <v>0.25</v>
      </c>
      <c r="I30" s="296" t="s">
        <v>52</v>
      </c>
      <c r="J30" s="292" t="s">
        <v>393</v>
      </c>
      <c r="K30" s="333" t="s">
        <v>666</v>
      </c>
    </row>
    <row r="31" spans="1:11" ht="38.25" customHeight="1" x14ac:dyDescent="0.55000000000000004">
      <c r="A31" s="319"/>
      <c r="B31" s="647" t="s">
        <v>692</v>
      </c>
      <c r="C31" s="297" t="s">
        <v>671</v>
      </c>
      <c r="D31" s="300">
        <v>1750000</v>
      </c>
      <c r="E31" s="292" t="s">
        <v>96</v>
      </c>
      <c r="F31" s="293">
        <v>2500</v>
      </c>
      <c r="G31" s="291">
        <f t="shared" ref="G31" si="6">D31/F31</f>
        <v>700</v>
      </c>
      <c r="H31" s="296">
        <v>0.25</v>
      </c>
      <c r="I31" s="296" t="s">
        <v>52</v>
      </c>
      <c r="J31" s="292" t="s">
        <v>393</v>
      </c>
      <c r="K31" s="333" t="s">
        <v>904</v>
      </c>
    </row>
    <row r="32" spans="1:11" ht="30.75" customHeight="1" x14ac:dyDescent="0.55000000000000004">
      <c r="A32" s="319"/>
      <c r="B32" s="647" t="s">
        <v>692</v>
      </c>
      <c r="C32" s="297" t="s">
        <v>672</v>
      </c>
      <c r="D32" s="300">
        <v>1050000</v>
      </c>
      <c r="E32" s="292" t="s">
        <v>96</v>
      </c>
      <c r="F32" s="293">
        <v>1500</v>
      </c>
      <c r="G32" s="291">
        <f t="shared" ref="G32" si="7">D32/F32</f>
        <v>700</v>
      </c>
      <c r="H32" s="296">
        <v>0.25</v>
      </c>
      <c r="I32" s="296" t="s">
        <v>52</v>
      </c>
      <c r="J32" s="292" t="s">
        <v>393</v>
      </c>
      <c r="K32" s="333" t="s">
        <v>904</v>
      </c>
    </row>
    <row r="33" spans="1:11" ht="33" customHeight="1" x14ac:dyDescent="0.55000000000000004">
      <c r="A33" s="319"/>
      <c r="B33" s="647" t="s">
        <v>692</v>
      </c>
      <c r="C33" s="297" t="s">
        <v>673</v>
      </c>
      <c r="D33" s="300">
        <v>1750000</v>
      </c>
      <c r="E33" s="292" t="s">
        <v>96</v>
      </c>
      <c r="F33" s="293">
        <v>2500</v>
      </c>
      <c r="G33" s="291">
        <f t="shared" ref="G33" si="8">D33/F33</f>
        <v>700</v>
      </c>
      <c r="H33" s="296">
        <v>0.25</v>
      </c>
      <c r="I33" s="296" t="s">
        <v>52</v>
      </c>
      <c r="J33" s="292" t="s">
        <v>393</v>
      </c>
      <c r="K33" s="333" t="s">
        <v>904</v>
      </c>
    </row>
    <row r="34" spans="1:11" ht="31.5" customHeight="1" x14ac:dyDescent="0.55000000000000004">
      <c r="A34" s="319"/>
      <c r="B34" s="647" t="s">
        <v>692</v>
      </c>
      <c r="C34" s="297" t="s">
        <v>674</v>
      </c>
      <c r="D34" s="300">
        <v>1050000</v>
      </c>
      <c r="E34" s="292" t="s">
        <v>96</v>
      </c>
      <c r="F34" s="293">
        <v>1500</v>
      </c>
      <c r="G34" s="291">
        <f t="shared" ref="G34" si="9">D34/F34</f>
        <v>700</v>
      </c>
      <c r="H34" s="296">
        <v>0.25</v>
      </c>
      <c r="I34" s="296" t="s">
        <v>52</v>
      </c>
      <c r="J34" s="292" t="s">
        <v>393</v>
      </c>
      <c r="K34" s="333" t="s">
        <v>904</v>
      </c>
    </row>
    <row r="35" spans="1:11" ht="74.25" customHeight="1" x14ac:dyDescent="0.55000000000000004">
      <c r="A35" s="319"/>
      <c r="B35" s="647" t="s">
        <v>692</v>
      </c>
      <c r="C35" s="297" t="s">
        <v>730</v>
      </c>
      <c r="D35" s="290">
        <v>50000000</v>
      </c>
      <c r="E35" s="292" t="s">
        <v>96</v>
      </c>
      <c r="F35" s="293">
        <v>100000</v>
      </c>
      <c r="G35" s="291">
        <f t="shared" si="0"/>
        <v>500</v>
      </c>
      <c r="H35" s="296">
        <v>0.25</v>
      </c>
      <c r="I35" s="296" t="s">
        <v>52</v>
      </c>
      <c r="J35" s="292" t="s">
        <v>394</v>
      </c>
      <c r="K35" s="333" t="s">
        <v>675</v>
      </c>
    </row>
    <row r="36" spans="1:11" x14ac:dyDescent="0.2">
      <c r="B36" s="323" t="s">
        <v>288</v>
      </c>
      <c r="C36" s="324"/>
      <c r="D36" s="325"/>
      <c r="E36" s="325"/>
      <c r="F36" s="325"/>
      <c r="G36" s="325"/>
      <c r="H36" s="326"/>
      <c r="I36" s="326"/>
      <c r="J36" s="329"/>
      <c r="K36" s="327"/>
    </row>
    <row r="38" spans="1:11" x14ac:dyDescent="0.2">
      <c r="B38" s="303" t="s">
        <v>302</v>
      </c>
    </row>
    <row r="39" spans="1:11" ht="15" x14ac:dyDescent="0.2">
      <c r="A39" s="307"/>
      <c r="B39" s="913" t="s">
        <v>305</v>
      </c>
      <c r="C39" s="914"/>
      <c r="D39" s="915"/>
      <c r="J39" s="60"/>
    </row>
    <row r="40" spans="1:11" ht="15" x14ac:dyDescent="0.2">
      <c r="A40" s="307"/>
      <c r="B40" s="88" t="s">
        <v>676</v>
      </c>
      <c r="C40" s="89">
        <v>0.25</v>
      </c>
      <c r="D40" s="777"/>
      <c r="J40" s="60"/>
    </row>
    <row r="41" spans="1:11" ht="15" x14ac:dyDescent="0.2">
      <c r="A41" s="307"/>
      <c r="B41" s="88" t="s">
        <v>694</v>
      </c>
      <c r="C41" s="89">
        <v>0.25</v>
      </c>
      <c r="D41" s="777"/>
      <c r="J41" s="60"/>
    </row>
    <row r="42" spans="1:11" ht="15" x14ac:dyDescent="0.2">
      <c r="A42" s="307"/>
      <c r="B42" s="88" t="s">
        <v>677</v>
      </c>
      <c r="C42" s="89">
        <v>0.25</v>
      </c>
      <c r="D42" s="866" t="s">
        <v>903</v>
      </c>
      <c r="J42" s="60"/>
    </row>
    <row r="43" spans="1:11" ht="15" x14ac:dyDescent="0.2">
      <c r="A43" s="307"/>
      <c r="B43" s="88" t="s">
        <v>419</v>
      </c>
      <c r="C43" s="89">
        <v>0.25</v>
      </c>
      <c r="D43" s="777"/>
      <c r="J43" s="60"/>
    </row>
    <row r="44" spans="1:11" ht="15" x14ac:dyDescent="0.2">
      <c r="A44" s="307"/>
      <c r="B44" s="88" t="s">
        <v>678</v>
      </c>
      <c r="C44" s="89">
        <v>0.4</v>
      </c>
      <c r="D44" s="777"/>
      <c r="J44" s="60"/>
    </row>
    <row r="45" spans="1:11" ht="15" x14ac:dyDescent="0.2">
      <c r="A45" s="307"/>
      <c r="B45" s="88" t="s">
        <v>50</v>
      </c>
      <c r="C45" s="89">
        <v>0.25</v>
      </c>
      <c r="D45" s="777"/>
      <c r="J45" s="60"/>
    </row>
    <row r="46" spans="1:11" x14ac:dyDescent="0.2">
      <c r="A46" s="308"/>
      <c r="B46" s="88" t="s">
        <v>49</v>
      </c>
      <c r="C46" s="89">
        <v>0.25</v>
      </c>
      <c r="D46" s="777"/>
      <c r="J46" s="60"/>
    </row>
    <row r="47" spans="1:11" x14ac:dyDescent="0.2">
      <c r="A47" s="308"/>
      <c r="B47" s="913" t="s">
        <v>731</v>
      </c>
      <c r="C47" s="914"/>
      <c r="D47" s="915"/>
      <c r="J47" s="60"/>
    </row>
    <row r="48" spans="1:11" ht="25.5" x14ac:dyDescent="0.2">
      <c r="A48" s="308"/>
      <c r="B48" s="88" t="s">
        <v>733</v>
      </c>
      <c r="C48" s="89" t="s">
        <v>732</v>
      </c>
      <c r="D48" s="777"/>
      <c r="J48" s="60"/>
    </row>
    <row r="49" spans="1:11" ht="25.5" x14ac:dyDescent="0.2">
      <c r="A49" s="308"/>
      <c r="B49" s="88" t="s">
        <v>734</v>
      </c>
      <c r="C49" s="89">
        <v>0.4</v>
      </c>
      <c r="D49" s="777"/>
      <c r="J49" s="60"/>
    </row>
    <row r="50" spans="1:11" ht="25.5" x14ac:dyDescent="0.2">
      <c r="A50" s="308"/>
      <c r="B50" s="88" t="s">
        <v>735</v>
      </c>
      <c r="C50" s="89">
        <v>0.5</v>
      </c>
      <c r="D50" s="777"/>
      <c r="J50" s="60"/>
    </row>
    <row r="51" spans="1:11" x14ac:dyDescent="0.2">
      <c r="A51" s="308"/>
      <c r="B51" s="88" t="s">
        <v>736</v>
      </c>
      <c r="C51" s="89" t="s">
        <v>732</v>
      </c>
      <c r="D51" s="777"/>
      <c r="J51" s="60"/>
    </row>
    <row r="52" spans="1:11" x14ac:dyDescent="0.2">
      <c r="A52" s="308"/>
      <c r="B52" s="954" t="s">
        <v>737</v>
      </c>
      <c r="C52" s="955"/>
      <c r="D52" s="956"/>
      <c r="J52" s="60"/>
    </row>
    <row r="53" spans="1:11" ht="15" x14ac:dyDescent="0.2">
      <c r="A53" s="307"/>
      <c r="B53" s="913" t="s">
        <v>304</v>
      </c>
      <c r="C53" s="914"/>
      <c r="D53" s="915"/>
      <c r="J53" s="60"/>
    </row>
    <row r="54" spans="1:11" ht="57" customHeight="1" x14ac:dyDescent="0.2">
      <c r="A54" s="308"/>
      <c r="B54" s="337" t="s">
        <v>562</v>
      </c>
      <c r="C54" s="338">
        <v>0.5</v>
      </c>
      <c r="D54" s="339"/>
      <c r="J54" s="60"/>
    </row>
    <row r="55" spans="1:11" s="253" customFormat="1" x14ac:dyDescent="0.2">
      <c r="A55" s="60"/>
      <c r="C55" s="60"/>
      <c r="D55" s="60"/>
      <c r="E55" s="60"/>
      <c r="F55" s="60"/>
      <c r="G55" s="60"/>
      <c r="J55" s="637"/>
      <c r="K55" s="60"/>
    </row>
    <row r="56" spans="1:11" s="253" customFormat="1" x14ac:dyDescent="0.2">
      <c r="A56" s="60"/>
      <c r="B56" s="815" t="s">
        <v>761</v>
      </c>
      <c r="C56" s="60"/>
      <c r="D56" s="60"/>
      <c r="E56" s="60"/>
      <c r="F56" s="60"/>
      <c r="G56" s="60"/>
      <c r="J56" s="637"/>
      <c r="K56" s="60"/>
    </row>
  </sheetData>
  <sheetProtection password="CF18" sheet="1" objects="1"/>
  <mergeCells count="4">
    <mergeCell ref="B53:D53"/>
    <mergeCell ref="B39:D39"/>
    <mergeCell ref="B47:D47"/>
    <mergeCell ref="B52:D52"/>
  </mergeCells>
  <conditionalFormatting sqref="J36 J22">
    <cfRule type="cellIs" dxfId="2" priority="55" operator="equal">
      <formula>"Нет"</formula>
    </cfRule>
  </conditionalFormatting>
  <conditionalFormatting sqref="B23:K35">
    <cfRule type="expression" dxfId="1" priority="56" stopIfTrue="1">
      <formula>AND(COLUMN()=COLUMN($B23),$B23=OFFSET($B23,-1,0))</formula>
    </cfRule>
    <cfRule type="expression" dxfId="0" priority="57" stopIfTrue="1">
      <formula>$B23&lt;&gt;OFFSET($B23,-1,0)</formula>
    </cfRule>
  </conditionalFormatting>
  <dataValidations count="2">
    <dataValidation type="list" allowBlank="1" showInputMessage="1" showErrorMessage="1" sqref="J23:J35">
      <formula1>"Да,Нет,Особ."</formula1>
    </dataValidation>
    <dataValidation type="list" allowBlank="1" showInputMessage="1" showErrorMessage="1" sqref="E23:E35">
      <formula1>typeIndexSm</formula1>
    </dataValidation>
  </dataValidations>
  <hyperlinks>
    <hyperlink ref="D2" location="'Медиа-Заявка'!R327C3" tooltip="Вернуться на медиа-заявку" display="'Медиа-Заявка'!R327C3"/>
  </hyperlinks>
  <pageMargins left="0.74803149606299213" right="0.74803149606299213" top="0.98425196850393704" bottom="0.98425196850393704" header="0.51181102362204722" footer="0.51181102362204722"/>
  <pageSetup paperSize="9" scale="36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tabColor indexed="8"/>
    <pageSetUpPr fitToPage="1"/>
  </sheetPr>
  <dimension ref="A1:AB68"/>
  <sheetViews>
    <sheetView showGridLines="0" zoomScaleNormal="100" workbookViewId="0"/>
  </sheetViews>
  <sheetFormatPr defaultRowHeight="11.25" x14ac:dyDescent="0.2"/>
  <cols>
    <col min="1" max="1" width="2.7109375" style="25" customWidth="1"/>
    <col min="2" max="2" width="3.5703125" style="25" customWidth="1"/>
    <col min="3" max="3" width="16.28515625" style="26" customWidth="1"/>
    <col min="4" max="4" width="16.28515625" style="25" customWidth="1"/>
    <col min="5" max="5" width="11.85546875" style="25" customWidth="1"/>
    <col min="6" max="10" width="15.42578125" style="25" customWidth="1"/>
    <col min="11" max="11" width="11.7109375" style="25" customWidth="1"/>
    <col min="12" max="13" width="12.5703125" style="25" customWidth="1"/>
    <col min="14" max="14" width="13.42578125" style="25" customWidth="1"/>
    <col min="15" max="15" width="9.42578125" style="25" bestFit="1" customWidth="1"/>
    <col min="16" max="23" width="11" style="25" customWidth="1"/>
    <col min="24" max="24" width="9.42578125" style="25" bestFit="1" customWidth="1"/>
    <col min="25" max="27" width="9.140625" style="25"/>
    <col min="28" max="28" width="9.140625" style="47"/>
    <col min="29" max="16384" width="9.140625" style="25"/>
  </cols>
  <sheetData>
    <row r="1" spans="1:28" ht="12.75" x14ac:dyDescent="0.2">
      <c r="A1" s="575"/>
      <c r="AA1" s="47"/>
      <c r="AB1" s="25"/>
    </row>
    <row r="2" spans="1:28" s="21" customFormat="1" x14ac:dyDescent="0.2">
      <c r="C2" s="22" t="s">
        <v>89</v>
      </c>
      <c r="D2" s="23" t="s">
        <v>280</v>
      </c>
      <c r="E2" s="24"/>
      <c r="F2" s="248"/>
      <c r="G2" s="248"/>
      <c r="H2" s="251" t="s">
        <v>317</v>
      </c>
      <c r="I2" s="251" t="s">
        <v>318</v>
      </c>
      <c r="J2" s="248"/>
      <c r="K2" s="248"/>
      <c r="L2" s="248"/>
      <c r="M2" s="248"/>
      <c r="O2" s="248"/>
      <c r="P2" s="248"/>
      <c r="Q2" s="248"/>
      <c r="R2" s="248"/>
      <c r="S2" s="248"/>
      <c r="T2" s="248"/>
      <c r="U2" s="248"/>
      <c r="V2" s="248"/>
    </row>
    <row r="3" spans="1:28" x14ac:dyDescent="0.2">
      <c r="C3" s="240" t="s">
        <v>79</v>
      </c>
      <c r="D3" s="245" t="s">
        <v>101</v>
      </c>
      <c r="E3" s="476" t="s">
        <v>358</v>
      </c>
      <c r="F3" s="248"/>
      <c r="G3" s="248"/>
      <c r="H3" s="249" t="b">
        <v>0</v>
      </c>
      <c r="I3" s="249" t="b">
        <v>0</v>
      </c>
      <c r="K3" s="250">
        <v>1</v>
      </c>
      <c r="L3" s="248"/>
      <c r="M3" s="248"/>
      <c r="O3" s="248"/>
      <c r="P3" s="248"/>
      <c r="Q3" s="248"/>
      <c r="R3" s="248"/>
      <c r="S3" s="248"/>
      <c r="T3" s="248"/>
      <c r="U3" s="248"/>
      <c r="V3" s="248"/>
      <c r="AB3" s="25"/>
    </row>
    <row r="4" spans="1:28" x14ac:dyDescent="0.2">
      <c r="C4" s="241" t="s">
        <v>80</v>
      </c>
      <c r="D4" s="246" t="s">
        <v>396</v>
      </c>
      <c r="E4" s="477" t="s">
        <v>397</v>
      </c>
      <c r="F4" s="248"/>
      <c r="G4" s="248"/>
      <c r="H4" s="249" t="b">
        <v>0</v>
      </c>
      <c r="I4" s="249" t="b">
        <v>0</v>
      </c>
      <c r="K4" s="250">
        <v>12</v>
      </c>
      <c r="L4" s="248"/>
      <c r="M4" s="248"/>
      <c r="O4" s="248"/>
      <c r="P4" s="248"/>
      <c r="Q4" s="248"/>
      <c r="R4" s="248"/>
      <c r="S4" s="248"/>
      <c r="T4" s="248"/>
      <c r="U4" s="248"/>
      <c r="V4" s="248"/>
      <c r="AB4" s="25"/>
    </row>
    <row r="5" spans="1:28" x14ac:dyDescent="0.2">
      <c r="C5" s="241" t="s">
        <v>81</v>
      </c>
      <c r="D5" s="246" t="s">
        <v>308</v>
      </c>
      <c r="E5" s="477" t="s">
        <v>359</v>
      </c>
      <c r="F5" s="248"/>
      <c r="G5" s="248"/>
      <c r="I5" s="249" t="b">
        <v>0</v>
      </c>
      <c r="K5" s="250" t="b">
        <f>monthError</f>
        <v>0</v>
      </c>
      <c r="L5" s="248"/>
      <c r="M5" s="248"/>
      <c r="O5" s="248"/>
      <c r="P5" s="248"/>
      <c r="Q5" s="248"/>
      <c r="R5" s="248"/>
      <c r="S5" s="248"/>
      <c r="T5" s="248"/>
      <c r="U5" s="248"/>
      <c r="V5" s="248"/>
      <c r="AB5" s="25"/>
    </row>
    <row r="6" spans="1:28" x14ac:dyDescent="0.2">
      <c r="C6" s="241" t="s">
        <v>82</v>
      </c>
      <c r="D6" s="246" t="s">
        <v>96</v>
      </c>
      <c r="E6" s="477" t="s">
        <v>96</v>
      </c>
      <c r="F6" s="248"/>
      <c r="G6" s="248"/>
      <c r="H6" s="248"/>
      <c r="I6" s="248"/>
      <c r="J6" s="248"/>
      <c r="K6" s="248"/>
      <c r="L6" s="248"/>
      <c r="M6" s="248"/>
      <c r="O6" s="248"/>
      <c r="P6" s="248"/>
      <c r="Q6" s="248"/>
      <c r="R6" s="248"/>
      <c r="S6" s="248"/>
      <c r="T6" s="248"/>
      <c r="U6" s="248"/>
      <c r="V6" s="248"/>
      <c r="AB6" s="25"/>
    </row>
    <row r="7" spans="1:28" x14ac:dyDescent="0.2">
      <c r="C7" s="241" t="s">
        <v>83</v>
      </c>
      <c r="D7" s="246" t="s">
        <v>97</v>
      </c>
      <c r="E7" s="477" t="s">
        <v>97</v>
      </c>
      <c r="F7" s="248"/>
      <c r="G7" s="248"/>
      <c r="H7" s="330">
        <f>IF(ISNUMBER(discSplitInput),discSplitInput,0)</f>
        <v>0</v>
      </c>
      <c r="I7" s="248"/>
      <c r="J7" s="248"/>
      <c r="K7" s="248"/>
      <c r="L7" s="248"/>
      <c r="M7" s="248"/>
      <c r="O7" s="248"/>
      <c r="P7" s="248"/>
      <c r="Q7" s="248"/>
      <c r="R7" s="248"/>
      <c r="S7" s="248"/>
      <c r="T7" s="248"/>
      <c r="U7" s="248"/>
      <c r="V7" s="248"/>
      <c r="AB7" s="25"/>
    </row>
    <row r="8" spans="1:28" x14ac:dyDescent="0.2">
      <c r="C8" s="241" t="s">
        <v>84</v>
      </c>
      <c r="D8" s="246" t="s">
        <v>102</v>
      </c>
      <c r="E8" s="477" t="s">
        <v>356</v>
      </c>
      <c r="H8" s="25" t="b">
        <f ca="1">($H20*FLOOR((1-yaDiscSpec)*(1-discReachZ),valDiscPrec))&lt;valMinBillReachYa</f>
        <v>1</v>
      </c>
      <c r="AB8" s="25"/>
    </row>
    <row r="9" spans="1:28" x14ac:dyDescent="0.2">
      <c r="C9" s="241" t="s">
        <v>85</v>
      </c>
      <c r="D9" s="247" t="s">
        <v>89</v>
      </c>
      <c r="E9" s="478" t="s">
        <v>539</v>
      </c>
      <c r="AB9" s="25"/>
    </row>
    <row r="10" spans="1:28" x14ac:dyDescent="0.2">
      <c r="C10" s="241" t="s">
        <v>74</v>
      </c>
      <c r="AB10" s="25"/>
    </row>
    <row r="11" spans="1:28" x14ac:dyDescent="0.2">
      <c r="C11" s="241" t="s">
        <v>75</v>
      </c>
      <c r="O11" s="63"/>
    </row>
    <row r="12" spans="1:28" x14ac:dyDescent="0.2">
      <c r="C12" s="241" t="s">
        <v>86</v>
      </c>
      <c r="AA12" s="47"/>
      <c r="AB12" s="25"/>
    </row>
    <row r="13" spans="1:28" x14ac:dyDescent="0.2">
      <c r="C13" s="241" t="s">
        <v>87</v>
      </c>
      <c r="D13" s="243" t="str">
        <f>INDEX(months,monthStart)</f>
        <v>Январь</v>
      </c>
      <c r="AA13" s="47"/>
      <c r="AB13" s="25"/>
    </row>
    <row r="14" spans="1:28" x14ac:dyDescent="0.2">
      <c r="C14" s="242" t="s">
        <v>88</v>
      </c>
      <c r="D14" s="244" t="str">
        <f>INDEX(months,monthFinish)</f>
        <v>Декабрь</v>
      </c>
      <c r="AA14" s="47"/>
      <c r="AB14" s="25"/>
    </row>
    <row r="15" spans="1:28" x14ac:dyDescent="0.2">
      <c r="AA15" s="47"/>
      <c r="AB15" s="25"/>
    </row>
    <row r="16" spans="1:28" s="1" customFormat="1" x14ac:dyDescent="0.2">
      <c r="C16" s="26"/>
      <c r="AA16" s="48"/>
    </row>
    <row r="17" spans="1:27" s="1" customFormat="1" x14ac:dyDescent="0.2">
      <c r="C17" s="26"/>
      <c r="AA17" s="48"/>
    </row>
    <row r="18" spans="1:27" s="1" customFormat="1" x14ac:dyDescent="0.2">
      <c r="C18" s="25"/>
    </row>
    <row r="19" spans="1:27" s="1" customFormat="1" ht="30" x14ac:dyDescent="0.2">
      <c r="A19" s="182"/>
      <c r="B19" s="27" t="s">
        <v>267</v>
      </c>
      <c r="C19" s="132" t="s">
        <v>151</v>
      </c>
      <c r="D19" s="132" t="s">
        <v>255</v>
      </c>
      <c r="E19" s="27" t="s">
        <v>265</v>
      </c>
      <c r="F19" s="27" t="s">
        <v>314</v>
      </c>
      <c r="G19" s="27" t="s">
        <v>313</v>
      </c>
      <c r="H19" s="27" t="s">
        <v>310</v>
      </c>
      <c r="I19" s="27" t="s">
        <v>355</v>
      </c>
      <c r="J19" s="27" t="s">
        <v>273</v>
      </c>
      <c r="K19" s="27" t="s">
        <v>311</v>
      </c>
      <c r="L19" s="27" t="s">
        <v>312</v>
      </c>
      <c r="M19" s="27" t="s">
        <v>298</v>
      </c>
      <c r="N19" s="49" t="s">
        <v>269</v>
      </c>
      <c r="O19" s="27" t="s">
        <v>106</v>
      </c>
      <c r="P19" s="27" t="s">
        <v>271</v>
      </c>
      <c r="Q19" s="27" t="s">
        <v>270</v>
      </c>
      <c r="R19" s="154" t="s">
        <v>272</v>
      </c>
      <c r="S19" s="27" t="s">
        <v>271</v>
      </c>
      <c r="T19" s="27" t="s">
        <v>270</v>
      </c>
      <c r="U19" s="154" t="s">
        <v>309</v>
      </c>
      <c r="V19" s="154" t="s">
        <v>390</v>
      </c>
      <c r="W19" s="154" t="s">
        <v>391</v>
      </c>
    </row>
    <row r="20" spans="1:27" s="1" customFormat="1" ht="12.75" x14ac:dyDescent="0.2">
      <c r="A20" s="4"/>
      <c r="B20" s="134">
        <f t="shared" ref="B20:B49" si="0">ROW()-ROW($B$19)</f>
        <v>1</v>
      </c>
      <c r="C20" s="138" t="s">
        <v>124</v>
      </c>
      <c r="D20" s="139" t="s">
        <v>76</v>
      </c>
      <c r="E20" s="138" t="s">
        <v>124</v>
      </c>
      <c r="F20" s="143">
        <f t="shared" ref="F20:F49" si="1">IF(ISNUMBER(INDEX(indBud,$B20+1)),INDEX(indBud,$B20+1),0)</f>
        <v>0</v>
      </c>
      <c r="G20" s="143">
        <f t="shared" ref="G20:G49" si="2">IF(ISERROR($F20/(1-$J20)),0,$F20/(1-$J20))</f>
        <v>0</v>
      </c>
      <c r="H20" s="143">
        <f t="shared" ref="H20:H49" ca="1" si="3">INDEX(indPlanBudZ,MATCH($C20,indPlanPrefix,0))</f>
        <v>0</v>
      </c>
      <c r="I20" s="143">
        <f t="shared" ref="I20:I49" si="4">INDEX(indPlanSpec,MATCH($C20,indPlanPrefix,0))</f>
        <v>0</v>
      </c>
      <c r="J20" s="152">
        <f t="shared" ref="J20:J49" si="5">IF($F20&gt;0,INDEX(indDiscVal,1,MATCH($E20,indDiscPrefix,0)),0)</f>
        <v>0</v>
      </c>
      <c r="K20" s="152">
        <f t="shared" ref="K20:K49" ca="1" si="6">MAX(IF(fixDiscZ,$J20,0),IF($H20&gt;0,INDEX(indDiscValZ,1,MATCH($E20,indDiscPrefix,0)),0))</f>
        <v>0</v>
      </c>
      <c r="L20" s="152">
        <f t="shared" ref="L20:L49" ca="1" si="7">IF($K20&gt;0,INDEX(indDiscValVZ,1,MATCH($E20,indDiscPrefix,0)),0)</f>
        <v>0</v>
      </c>
      <c r="M20" s="143">
        <f t="shared" ref="M20:M49" ca="1" si="8">INDEX(indPlanR,MATCH($C20,indPlanPrefix,0))</f>
        <v>0</v>
      </c>
      <c r="N20" s="136">
        <v>0.3</v>
      </c>
      <c r="O20" s="148">
        <f>IF($E20="Ya",0,discAgency)</f>
        <v>0</v>
      </c>
      <c r="P20" s="152">
        <f t="shared" ref="P20:P49" si="9">IF($E20="Ya",IF($Q20&gt;0,0,MIN(discSplit,valDiscSplitYaMax)),MIN(discSplit,valDiscSplitMax))</f>
        <v>0</v>
      </c>
      <c r="Q20" s="152">
        <f>IF($E20="Ya",IF(MIN(discSplit,valDiscSplitYaMax)&gt;=IF($F20&lt;valMinBillReachYa,0,discReachX),0,IF($F20&lt;valMinBillReachYa,0,discReachX)),discReachX)</f>
        <v>0</v>
      </c>
      <c r="R20" s="152">
        <f t="shared" ref="R20:R49" si="10">1-(1-$P20)*(1-$O20)*(1-$Q20)</f>
        <v>0</v>
      </c>
      <c r="S20" s="152">
        <f t="shared" ref="S20:S49" ca="1" si="11">IF($E20="Ya",IF($T20&gt;0,0,MIN(discSplit,valDiscSplitYaMax)),MIN(discSplit,valDiscSplitMax))</f>
        <v>0</v>
      </c>
      <c r="T20" s="152">
        <f ca="1">IF($E20="Ya",IF(MIN(discSplit,valDiscSplitYaMax)&gt;=IF(H8,0,discReachZ),0,discReachZ),discReachZ)</f>
        <v>0</v>
      </c>
      <c r="U20" s="152">
        <f t="shared" ref="U20:U49" ca="1" si="12">1-(1-$S20)*(1-$O20)*(1-$T20)</f>
        <v>0</v>
      </c>
      <c r="V20" s="634">
        <f ca="1">ROWS(INDIRECT(LOWER(C20)&amp;"Price"))-2</f>
        <v>39</v>
      </c>
      <c r="W20" s="634">
        <f t="shared" ref="W20:W49" si="13">INDEX(indPlanPNs,MATCH($C20,indPlanPrefix,0))-1</f>
        <v>39</v>
      </c>
    </row>
    <row r="21" spans="1:27" s="1" customFormat="1" ht="12.75" x14ac:dyDescent="0.2">
      <c r="A21" s="4"/>
      <c r="B21" s="868">
        <f t="shared" si="0"/>
        <v>2</v>
      </c>
      <c r="C21" s="869" t="s">
        <v>929</v>
      </c>
      <c r="D21" s="870" t="s">
        <v>930</v>
      </c>
      <c r="E21" s="869" t="s">
        <v>929</v>
      </c>
      <c r="F21" s="871">
        <f t="shared" si="1"/>
        <v>0</v>
      </c>
      <c r="G21" s="871">
        <f t="shared" si="2"/>
        <v>0</v>
      </c>
      <c r="H21" s="871">
        <f t="shared" ca="1" si="3"/>
        <v>0</v>
      </c>
      <c r="I21" s="871">
        <f t="shared" si="4"/>
        <v>0</v>
      </c>
      <c r="J21" s="872">
        <f t="shared" si="5"/>
        <v>0</v>
      </c>
      <c r="K21" s="872">
        <f t="shared" ca="1" si="6"/>
        <v>0</v>
      </c>
      <c r="L21" s="872">
        <f t="shared" ca="1" si="7"/>
        <v>0</v>
      </c>
      <c r="M21" s="871">
        <f t="shared" ca="1" si="8"/>
        <v>0</v>
      </c>
      <c r="N21" s="873">
        <v>0</v>
      </c>
      <c r="O21" s="874">
        <f>IF($E21="Ya",0,discAgency)</f>
        <v>0</v>
      </c>
      <c r="P21" s="872">
        <f t="shared" si="9"/>
        <v>0</v>
      </c>
      <c r="Q21" s="872">
        <f>IF($E21="Ya",IF(MIN(discSplit,valDiscSplitYaMax)&gt;=IF($F21&lt;valMinBillReachYa,0,discReachX),0,IF($F21&lt;valMinBillReachYa,0,discReachX)),discReachX)</f>
        <v>0</v>
      </c>
      <c r="R21" s="872">
        <f t="shared" si="10"/>
        <v>0</v>
      </c>
      <c r="S21" s="872">
        <f t="shared" si="11"/>
        <v>0</v>
      </c>
      <c r="T21" s="872">
        <f>IF($E21="Ya",IF(MIN(discSplit,valDiscSplitYaMax)&gt;=IF(H9,0,discReachZ),0,discReachZ),discReachZ)</f>
        <v>0</v>
      </c>
      <c r="U21" s="872">
        <f t="shared" si="12"/>
        <v>0</v>
      </c>
      <c r="V21" s="875">
        <f ca="1">ROWS(INDIRECT(LOWER(C21)&amp;"Price"))-2</f>
        <v>11</v>
      </c>
      <c r="W21" s="875">
        <f t="shared" si="13"/>
        <v>11</v>
      </c>
    </row>
    <row r="22" spans="1:27" s="1" customFormat="1" ht="12.75" x14ac:dyDescent="0.2">
      <c r="A22" s="4"/>
      <c r="B22" s="135">
        <f t="shared" si="0"/>
        <v>3</v>
      </c>
      <c r="C22" s="140" t="s">
        <v>473</v>
      </c>
      <c r="D22" s="141" t="s">
        <v>587</v>
      </c>
      <c r="E22" s="140" t="s">
        <v>473</v>
      </c>
      <c r="F22" s="115">
        <f t="shared" si="1"/>
        <v>0</v>
      </c>
      <c r="G22" s="115">
        <f t="shared" si="2"/>
        <v>0</v>
      </c>
      <c r="H22" s="115">
        <f t="shared" ca="1" si="3"/>
        <v>0</v>
      </c>
      <c r="I22" s="115">
        <f t="shared" si="4"/>
        <v>0</v>
      </c>
      <c r="J22" s="153">
        <f t="shared" si="5"/>
        <v>0</v>
      </c>
      <c r="K22" s="153">
        <f t="shared" ca="1" si="6"/>
        <v>0</v>
      </c>
      <c r="L22" s="153">
        <f t="shared" ca="1" si="7"/>
        <v>0</v>
      </c>
      <c r="M22" s="115">
        <f t="shared" ca="1" si="8"/>
        <v>0</v>
      </c>
      <c r="N22" s="137">
        <v>0.5</v>
      </c>
      <c r="O22" s="149">
        <f>IF($E22="Ya",0,discAgency)</f>
        <v>0</v>
      </c>
      <c r="P22" s="153">
        <f t="shared" si="9"/>
        <v>0</v>
      </c>
      <c r="Q22" s="153">
        <f>IF($E22="Ya",IF(MIN(discSplit,valDiscSplitYaMax)&gt;=IF($F22&lt;valMinBillReachYa,0,discReachX),0,IF($F22&lt;valMinBillReachYa,0,discReachX)),discReachX)</f>
        <v>0</v>
      </c>
      <c r="R22" s="153">
        <f t="shared" si="10"/>
        <v>0</v>
      </c>
      <c r="S22" s="153">
        <f t="shared" si="11"/>
        <v>0</v>
      </c>
      <c r="T22" s="153">
        <f>IF($E22="Ya",IF(MIN(discSplit,valDiscSplitYaMax)&gt;=IF(H8,0,discReachZ),0,discReachZ),discReachZ)</f>
        <v>0</v>
      </c>
      <c r="U22" s="153">
        <f t="shared" si="12"/>
        <v>0</v>
      </c>
      <c r="V22" s="635">
        <f t="shared" ref="V22" ca="1" si="14">ROWS(INDIRECT(LOWER(C22)&amp;"Price"))-2</f>
        <v>3</v>
      </c>
      <c r="W22" s="635">
        <f t="shared" si="13"/>
        <v>3</v>
      </c>
    </row>
    <row r="23" spans="1:27" s="1" customFormat="1" ht="12.75" x14ac:dyDescent="0.2">
      <c r="A23" s="4"/>
      <c r="B23" s="135">
        <f t="shared" si="0"/>
        <v>4</v>
      </c>
      <c r="C23" s="140" t="s">
        <v>266</v>
      </c>
      <c r="D23" s="141" t="s">
        <v>362</v>
      </c>
      <c r="E23" s="140" t="s">
        <v>266</v>
      </c>
      <c r="F23" s="115">
        <f t="shared" si="1"/>
        <v>0</v>
      </c>
      <c r="G23" s="115">
        <f t="shared" si="2"/>
        <v>0</v>
      </c>
      <c r="H23" s="115">
        <f t="shared" ca="1" si="3"/>
        <v>0</v>
      </c>
      <c r="I23" s="115">
        <f t="shared" si="4"/>
        <v>0</v>
      </c>
      <c r="J23" s="153">
        <f t="shared" si="5"/>
        <v>0</v>
      </c>
      <c r="K23" s="153">
        <f t="shared" ca="1" si="6"/>
        <v>0</v>
      </c>
      <c r="L23" s="153">
        <f t="shared" ca="1" si="7"/>
        <v>0</v>
      </c>
      <c r="M23" s="115">
        <f t="shared" ca="1" si="8"/>
        <v>0</v>
      </c>
      <c r="N23" s="137">
        <v>0.5</v>
      </c>
      <c r="O23" s="149">
        <f>IF($E23="Ya",0,discAgency)</f>
        <v>0</v>
      </c>
      <c r="P23" s="153">
        <f t="shared" si="9"/>
        <v>0</v>
      </c>
      <c r="Q23" s="153">
        <f>IF($E23="Ya",IF(MIN(discSplit,valDiscSplitYaMax)&gt;=IF($F23&lt;valMinBillReachYa,0,discReachX),0,IF($F23&lt;valMinBillReachYa,0,discReachX)),discReachX)</f>
        <v>0</v>
      </c>
      <c r="R23" s="153">
        <f t="shared" si="10"/>
        <v>0</v>
      </c>
      <c r="S23" s="153">
        <f t="shared" si="11"/>
        <v>0</v>
      </c>
      <c r="T23" s="153">
        <f>IF($E23="Ya",IF(MIN(discSplit,valDiscSplitYaMax)&gt;=IF(H9,0,discReachZ),0,discReachZ),discReachZ)</f>
        <v>0</v>
      </c>
      <c r="U23" s="153">
        <f t="shared" si="12"/>
        <v>0</v>
      </c>
      <c r="V23" s="635">
        <f t="shared" ref="V23:V49" ca="1" si="15">ROWS(INDIRECT(LOWER(C23)&amp;"Price"))-2</f>
        <v>14</v>
      </c>
      <c r="W23" s="635">
        <f t="shared" si="13"/>
        <v>14</v>
      </c>
    </row>
    <row r="24" spans="1:27" s="1" customFormat="1" ht="12.75" x14ac:dyDescent="0.2">
      <c r="A24" s="4"/>
      <c r="B24" s="135">
        <f t="shared" si="0"/>
        <v>5</v>
      </c>
      <c r="C24" s="140" t="s">
        <v>127</v>
      </c>
      <c r="D24" s="141" t="s">
        <v>77</v>
      </c>
      <c r="E24" s="140" t="s">
        <v>127</v>
      </c>
      <c r="F24" s="115">
        <f t="shared" si="1"/>
        <v>0</v>
      </c>
      <c r="G24" s="115">
        <f t="shared" si="2"/>
        <v>0</v>
      </c>
      <c r="H24" s="115">
        <f t="shared" ca="1" si="3"/>
        <v>0</v>
      </c>
      <c r="I24" s="115">
        <f t="shared" si="4"/>
        <v>0</v>
      </c>
      <c r="J24" s="153">
        <f t="shared" si="5"/>
        <v>0</v>
      </c>
      <c r="K24" s="153">
        <f t="shared" ca="1" si="6"/>
        <v>0</v>
      </c>
      <c r="L24" s="153">
        <f t="shared" ca="1" si="7"/>
        <v>0</v>
      </c>
      <c r="M24" s="115">
        <f t="shared" ca="1" si="8"/>
        <v>0</v>
      </c>
      <c r="N24" s="137">
        <v>0.4</v>
      </c>
      <c r="O24" s="149">
        <f>IF($E24="Ya",0,discAgency)</f>
        <v>0</v>
      </c>
      <c r="P24" s="153">
        <f t="shared" si="9"/>
        <v>0</v>
      </c>
      <c r="Q24" s="153">
        <f>IF($E24="Ya",IF(MIN(discSplit,valDiscSplitYaMax)&gt;=IF($F24&lt;valMinBillReachYa,0,discReachX),0,IF($F24&lt;valMinBillReachYa,0,discReachX)),discReachX)</f>
        <v>0</v>
      </c>
      <c r="R24" s="153">
        <f t="shared" si="10"/>
        <v>0</v>
      </c>
      <c r="S24" s="153">
        <f t="shared" si="11"/>
        <v>0</v>
      </c>
      <c r="T24" s="153">
        <f>IF($E24="Ya",IF(MIN(discSplit,valDiscSplitYaMax)&gt;=IF(H10,0,discReachZ),0,discReachZ),discReachZ)</f>
        <v>0</v>
      </c>
      <c r="U24" s="153">
        <f t="shared" si="12"/>
        <v>0</v>
      </c>
      <c r="V24" s="635">
        <f t="shared" ca="1" si="15"/>
        <v>18</v>
      </c>
      <c r="W24" s="635">
        <f t="shared" si="13"/>
        <v>18</v>
      </c>
    </row>
    <row r="25" spans="1:27" s="1" customFormat="1" ht="12.75" x14ac:dyDescent="0.2">
      <c r="A25" s="4"/>
      <c r="B25" s="135">
        <f t="shared" si="0"/>
        <v>6</v>
      </c>
      <c r="C25" s="140" t="s">
        <v>646</v>
      </c>
      <c r="D25" s="141" t="s">
        <v>647</v>
      </c>
      <c r="E25" s="140" t="s">
        <v>646</v>
      </c>
      <c r="F25" s="115">
        <f t="shared" si="1"/>
        <v>0</v>
      </c>
      <c r="G25" s="115">
        <f t="shared" si="2"/>
        <v>0</v>
      </c>
      <c r="H25" s="115">
        <f t="shared" ca="1" si="3"/>
        <v>0</v>
      </c>
      <c r="I25" s="115">
        <f t="shared" si="4"/>
        <v>0</v>
      </c>
      <c r="J25" s="153">
        <f t="shared" si="5"/>
        <v>0</v>
      </c>
      <c r="K25" s="153">
        <f t="shared" ca="1" si="6"/>
        <v>0</v>
      </c>
      <c r="L25" s="153">
        <f t="shared" ca="1" si="7"/>
        <v>0</v>
      </c>
      <c r="M25" s="115">
        <f t="shared" ca="1" si="8"/>
        <v>0</v>
      </c>
      <c r="N25" s="137">
        <v>0.5</v>
      </c>
      <c r="O25" s="149">
        <f>IF($E25="Ya",0,discAgency)</f>
        <v>0</v>
      </c>
      <c r="P25" s="153">
        <f t="shared" si="9"/>
        <v>0</v>
      </c>
      <c r="Q25" s="153">
        <f>IF($E25="Ya",IF(MIN(discSplit,valDiscSplitYaMax)&gt;=IF($F25&lt;valMinBillReachYa,0,discReachX),0,IF($F25&lt;valMinBillReachYa,0,discReachX)),discReachX)</f>
        <v>0</v>
      </c>
      <c r="R25" s="153">
        <f t="shared" si="10"/>
        <v>0</v>
      </c>
      <c r="S25" s="153">
        <f t="shared" si="11"/>
        <v>0</v>
      </c>
      <c r="T25" s="153">
        <f>IF($E25="Ya",IF(MIN(discSplit,valDiscSplitYaMax)&gt;=IF(H11,0,discReachZ),0,discReachZ),discReachZ)</f>
        <v>0</v>
      </c>
      <c r="U25" s="153">
        <f t="shared" si="12"/>
        <v>0</v>
      </c>
      <c r="V25" s="635">
        <f t="shared" ca="1" si="15"/>
        <v>2</v>
      </c>
      <c r="W25" s="635">
        <f t="shared" si="13"/>
        <v>2</v>
      </c>
    </row>
    <row r="26" spans="1:27" s="1" customFormat="1" ht="12.75" x14ac:dyDescent="0.2">
      <c r="A26" s="4"/>
      <c r="B26" s="135">
        <f t="shared" si="0"/>
        <v>7</v>
      </c>
      <c r="C26" s="140" t="s">
        <v>618</v>
      </c>
      <c r="D26" s="141" t="s">
        <v>619</v>
      </c>
      <c r="E26" s="140" t="s">
        <v>618</v>
      </c>
      <c r="F26" s="115">
        <f t="shared" si="1"/>
        <v>0</v>
      </c>
      <c r="G26" s="115">
        <f t="shared" si="2"/>
        <v>0</v>
      </c>
      <c r="H26" s="115">
        <f t="shared" ca="1" si="3"/>
        <v>0</v>
      </c>
      <c r="I26" s="115">
        <f t="shared" si="4"/>
        <v>0</v>
      </c>
      <c r="J26" s="153">
        <f t="shared" si="5"/>
        <v>0</v>
      </c>
      <c r="K26" s="153">
        <f t="shared" ca="1" si="6"/>
        <v>0</v>
      </c>
      <c r="L26" s="153">
        <f t="shared" ca="1" si="7"/>
        <v>0</v>
      </c>
      <c r="M26" s="115">
        <f t="shared" ca="1" si="8"/>
        <v>0</v>
      </c>
      <c r="N26" s="137">
        <v>0.5</v>
      </c>
      <c r="O26" s="149">
        <f>IF($E26="Ya",0,discAgency)</f>
        <v>0</v>
      </c>
      <c r="P26" s="153">
        <f t="shared" si="9"/>
        <v>0</v>
      </c>
      <c r="Q26" s="153">
        <f>IF($E26="Ya",IF(MIN(discSplit,valDiscSplitYaMax)&gt;=IF($F26&lt;valMinBillReachYa,0,discReachX),0,IF($F26&lt;valMinBillReachYa,0,discReachX)),discReachX)</f>
        <v>0</v>
      </c>
      <c r="R26" s="153">
        <f t="shared" si="10"/>
        <v>0</v>
      </c>
      <c r="S26" s="153">
        <f t="shared" si="11"/>
        <v>0</v>
      </c>
      <c r="T26" s="153">
        <f>IF($E26="Ya",IF(MIN(discSplit,valDiscSplitYaMax)&gt;=IF(H12,0,discReachZ),0,discReachZ),discReachZ)</f>
        <v>0</v>
      </c>
      <c r="U26" s="153">
        <f t="shared" si="12"/>
        <v>0</v>
      </c>
      <c r="V26" s="635">
        <f t="shared" ref="V26" ca="1" si="16">ROWS(INDIRECT(LOWER(C26)&amp;"Price"))-2</f>
        <v>8</v>
      </c>
      <c r="W26" s="635">
        <f t="shared" si="13"/>
        <v>8</v>
      </c>
    </row>
    <row r="27" spans="1:27" s="1" customFormat="1" ht="12.75" x14ac:dyDescent="0.2">
      <c r="A27" s="4"/>
      <c r="B27" s="135">
        <f t="shared" si="0"/>
        <v>8</v>
      </c>
      <c r="C27" s="140" t="s">
        <v>426</v>
      </c>
      <c r="D27" s="141" t="s">
        <v>427</v>
      </c>
      <c r="E27" s="140" t="s">
        <v>426</v>
      </c>
      <c r="F27" s="115">
        <f t="shared" si="1"/>
        <v>0</v>
      </c>
      <c r="G27" s="115">
        <f t="shared" si="2"/>
        <v>0</v>
      </c>
      <c r="H27" s="115">
        <f t="shared" ca="1" si="3"/>
        <v>0</v>
      </c>
      <c r="I27" s="115">
        <f t="shared" si="4"/>
        <v>0</v>
      </c>
      <c r="J27" s="153">
        <f t="shared" si="5"/>
        <v>0</v>
      </c>
      <c r="K27" s="153">
        <f t="shared" ca="1" si="6"/>
        <v>0</v>
      </c>
      <c r="L27" s="153">
        <f t="shared" ca="1" si="7"/>
        <v>0</v>
      </c>
      <c r="M27" s="115">
        <f t="shared" ca="1" si="8"/>
        <v>0</v>
      </c>
      <c r="N27" s="137">
        <v>0.5</v>
      </c>
      <c r="O27" s="149">
        <f>IF($E27="Ya",0,discAgency)</f>
        <v>0</v>
      </c>
      <c r="P27" s="153">
        <f t="shared" si="9"/>
        <v>0</v>
      </c>
      <c r="Q27" s="153">
        <f>IF($E27="Ya",IF(MIN(discSplit,valDiscSplitYaMax)&gt;=IF($F27&lt;valMinBillReachYa,0,discReachX),0,IF($F27&lt;valMinBillReachYa,0,discReachX)),discReachX)</f>
        <v>0</v>
      </c>
      <c r="R27" s="153">
        <f t="shared" si="10"/>
        <v>0</v>
      </c>
      <c r="S27" s="153">
        <f t="shared" si="11"/>
        <v>0</v>
      </c>
      <c r="T27" s="153">
        <f>IF($E27="Ya",IF(MIN(discSplit,valDiscSplitYaMax)&gt;=IF(H13,0,discReachZ),0,discReachZ),discReachZ)</f>
        <v>0</v>
      </c>
      <c r="U27" s="153">
        <f t="shared" si="12"/>
        <v>0</v>
      </c>
      <c r="V27" s="635">
        <f t="shared" ref="V27" ca="1" si="17">ROWS(INDIRECT(LOWER(C27)&amp;"Price"))-2</f>
        <v>6</v>
      </c>
      <c r="W27" s="635">
        <f t="shared" si="13"/>
        <v>6</v>
      </c>
    </row>
    <row r="28" spans="1:27" s="1" customFormat="1" ht="12.75" x14ac:dyDescent="0.2">
      <c r="A28" s="4"/>
      <c r="B28" s="135">
        <f t="shared" si="0"/>
        <v>9</v>
      </c>
      <c r="C28" s="140" t="s">
        <v>429</v>
      </c>
      <c r="D28" s="141" t="s">
        <v>430</v>
      </c>
      <c r="E28" s="140" t="s">
        <v>429</v>
      </c>
      <c r="F28" s="115">
        <f t="shared" si="1"/>
        <v>0</v>
      </c>
      <c r="G28" s="115">
        <f t="shared" si="2"/>
        <v>0</v>
      </c>
      <c r="H28" s="115">
        <f t="shared" ca="1" si="3"/>
        <v>0</v>
      </c>
      <c r="I28" s="115">
        <f t="shared" si="4"/>
        <v>0</v>
      </c>
      <c r="J28" s="153">
        <f t="shared" si="5"/>
        <v>0</v>
      </c>
      <c r="K28" s="153">
        <f t="shared" ca="1" si="6"/>
        <v>0</v>
      </c>
      <c r="L28" s="153">
        <f t="shared" ca="1" si="7"/>
        <v>0</v>
      </c>
      <c r="M28" s="115">
        <f t="shared" ca="1" si="8"/>
        <v>0</v>
      </c>
      <c r="N28" s="137">
        <v>0.5</v>
      </c>
      <c r="O28" s="149">
        <f>IF($E28="Ya",0,discAgency)</f>
        <v>0</v>
      </c>
      <c r="P28" s="153">
        <f t="shared" si="9"/>
        <v>0</v>
      </c>
      <c r="Q28" s="153">
        <f>IF($E28="Ya",IF(MIN(discSplit,valDiscSplitYaMax)&gt;=IF($F28&lt;valMinBillReachYa,0,discReachX),0,IF($F28&lt;valMinBillReachYa,0,discReachX)),discReachX)</f>
        <v>0</v>
      </c>
      <c r="R28" s="153">
        <f t="shared" si="10"/>
        <v>0</v>
      </c>
      <c r="S28" s="153">
        <f t="shared" si="11"/>
        <v>0</v>
      </c>
      <c r="T28" s="153">
        <f>IF($E28="Ya",IF(MIN(discSplit,valDiscSplitYaMax)&gt;=IF(H14,0,discReachZ),0,discReachZ),discReachZ)</f>
        <v>0</v>
      </c>
      <c r="U28" s="153">
        <f t="shared" si="12"/>
        <v>0</v>
      </c>
      <c r="V28" s="635">
        <f t="shared" ref="V28" ca="1" si="18">ROWS(INDIRECT(LOWER(C28)&amp;"Price"))-2</f>
        <v>6</v>
      </c>
      <c r="W28" s="635">
        <f t="shared" si="13"/>
        <v>6</v>
      </c>
    </row>
    <row r="29" spans="1:27" s="1" customFormat="1" ht="12.75" x14ac:dyDescent="0.2">
      <c r="A29" s="4"/>
      <c r="B29" s="135">
        <f t="shared" si="0"/>
        <v>10</v>
      </c>
      <c r="C29" s="140" t="s">
        <v>125</v>
      </c>
      <c r="D29" s="141" t="s">
        <v>95</v>
      </c>
      <c r="E29" s="140" t="s">
        <v>125</v>
      </c>
      <c r="F29" s="115">
        <f t="shared" si="1"/>
        <v>0</v>
      </c>
      <c r="G29" s="115">
        <f t="shared" si="2"/>
        <v>0</v>
      </c>
      <c r="H29" s="115">
        <f t="shared" ca="1" si="3"/>
        <v>0</v>
      </c>
      <c r="I29" s="115">
        <f t="shared" si="4"/>
        <v>0</v>
      </c>
      <c r="J29" s="153">
        <f t="shared" si="5"/>
        <v>0</v>
      </c>
      <c r="K29" s="153">
        <f t="shared" ca="1" si="6"/>
        <v>0</v>
      </c>
      <c r="L29" s="153">
        <f t="shared" ca="1" si="7"/>
        <v>0</v>
      </c>
      <c r="M29" s="115">
        <f t="shared" ca="1" si="8"/>
        <v>0</v>
      </c>
      <c r="N29" s="137">
        <v>0.4</v>
      </c>
      <c r="O29" s="149">
        <f>IF($E29="Ya",0,discAgency)</f>
        <v>0</v>
      </c>
      <c r="P29" s="153">
        <f t="shared" si="9"/>
        <v>0</v>
      </c>
      <c r="Q29" s="153">
        <f>IF($E29="Ya",IF(MIN(discSplit,valDiscSplitYaMax)&gt;=IF($F29&lt;valMinBillReachYa,0,discReachX),0,IF($F29&lt;valMinBillReachYa,0,discReachX)),discReachX)</f>
        <v>0</v>
      </c>
      <c r="R29" s="153">
        <f t="shared" si="10"/>
        <v>0</v>
      </c>
      <c r="S29" s="153">
        <f t="shared" si="11"/>
        <v>0</v>
      </c>
      <c r="T29" s="153">
        <f>IF($E29="Ya",IF(MIN(discSplit,valDiscSplitYaMax)&gt;=IF(H12,0,discReachZ),0,discReachZ),discReachZ)</f>
        <v>0</v>
      </c>
      <c r="U29" s="153">
        <f t="shared" si="12"/>
        <v>0</v>
      </c>
      <c r="V29" s="635">
        <f t="shared" ca="1" si="15"/>
        <v>8</v>
      </c>
      <c r="W29" s="635">
        <f t="shared" si="13"/>
        <v>8</v>
      </c>
    </row>
    <row r="30" spans="1:27" s="1" customFormat="1" ht="12.75" x14ac:dyDescent="0.2">
      <c r="A30" s="4"/>
      <c r="B30" s="135">
        <f t="shared" si="0"/>
        <v>11</v>
      </c>
      <c r="C30" s="140" t="s">
        <v>126</v>
      </c>
      <c r="D30" s="141" t="s">
        <v>119</v>
      </c>
      <c r="E30" s="140" t="s">
        <v>126</v>
      </c>
      <c r="F30" s="115">
        <f t="shared" si="1"/>
        <v>0</v>
      </c>
      <c r="G30" s="115">
        <f t="shared" si="2"/>
        <v>0</v>
      </c>
      <c r="H30" s="115">
        <f t="shared" ca="1" si="3"/>
        <v>0</v>
      </c>
      <c r="I30" s="115">
        <f t="shared" si="4"/>
        <v>0</v>
      </c>
      <c r="J30" s="153">
        <f t="shared" si="5"/>
        <v>0</v>
      </c>
      <c r="K30" s="153">
        <f t="shared" ca="1" si="6"/>
        <v>0</v>
      </c>
      <c r="L30" s="153">
        <f t="shared" ca="1" si="7"/>
        <v>0</v>
      </c>
      <c r="M30" s="115">
        <f t="shared" ca="1" si="8"/>
        <v>0</v>
      </c>
      <c r="N30" s="137">
        <v>0.5</v>
      </c>
      <c r="O30" s="149">
        <f>IF($E30="Ya",0,discAgency)</f>
        <v>0</v>
      </c>
      <c r="P30" s="153">
        <f t="shared" si="9"/>
        <v>0</v>
      </c>
      <c r="Q30" s="153">
        <f>IF($E30="Ya",IF(MIN(discSplit,valDiscSplitYaMax)&gt;=IF($F30&lt;valMinBillReachYa,0,discReachX),0,IF($F30&lt;valMinBillReachYa,0,discReachX)),discReachX)</f>
        <v>0</v>
      </c>
      <c r="R30" s="153">
        <f t="shared" si="10"/>
        <v>0</v>
      </c>
      <c r="S30" s="153">
        <f t="shared" si="11"/>
        <v>0</v>
      </c>
      <c r="T30" s="153">
        <f>IF($E30="Ya",IF(MIN(discSplit,valDiscSplitYaMax)&gt;=IF(H13,0,discReachZ),0,discReachZ),discReachZ)</f>
        <v>0</v>
      </c>
      <c r="U30" s="153">
        <f t="shared" si="12"/>
        <v>0</v>
      </c>
      <c r="V30" s="635">
        <f t="shared" ca="1" si="15"/>
        <v>8</v>
      </c>
      <c r="W30" s="635">
        <f t="shared" si="13"/>
        <v>8</v>
      </c>
    </row>
    <row r="31" spans="1:27" s="1" customFormat="1" ht="12.75" x14ac:dyDescent="0.2">
      <c r="A31" s="4"/>
      <c r="B31" s="135">
        <f t="shared" si="0"/>
        <v>12</v>
      </c>
      <c r="C31" s="140" t="s">
        <v>161</v>
      </c>
      <c r="D31" s="141" t="s">
        <v>160</v>
      </c>
      <c r="E31" s="140" t="s">
        <v>161</v>
      </c>
      <c r="F31" s="115">
        <f t="shared" si="1"/>
        <v>0</v>
      </c>
      <c r="G31" s="115">
        <f t="shared" si="2"/>
        <v>0</v>
      </c>
      <c r="H31" s="115">
        <f t="shared" ca="1" si="3"/>
        <v>0</v>
      </c>
      <c r="I31" s="115">
        <f t="shared" si="4"/>
        <v>0</v>
      </c>
      <c r="J31" s="153">
        <f t="shared" si="5"/>
        <v>0</v>
      </c>
      <c r="K31" s="153">
        <f t="shared" ca="1" si="6"/>
        <v>0</v>
      </c>
      <c r="L31" s="153">
        <f t="shared" ca="1" si="7"/>
        <v>0</v>
      </c>
      <c r="M31" s="115">
        <f t="shared" ca="1" si="8"/>
        <v>0</v>
      </c>
      <c r="N31" s="137">
        <v>0.375</v>
      </c>
      <c r="O31" s="149">
        <f>IF($E31="Ya",0,discAgency)</f>
        <v>0</v>
      </c>
      <c r="P31" s="153">
        <f t="shared" si="9"/>
        <v>0</v>
      </c>
      <c r="Q31" s="153">
        <f>IF($E31="Ya",IF(MIN(discSplit,valDiscSplitYaMax)&gt;=IF($F31&lt;valMinBillReachYa,0,discReachX),0,IF($F31&lt;valMinBillReachYa,0,discReachX)),discReachX)</f>
        <v>0</v>
      </c>
      <c r="R31" s="153">
        <f t="shared" si="10"/>
        <v>0</v>
      </c>
      <c r="S31" s="153">
        <f t="shared" si="11"/>
        <v>0</v>
      </c>
      <c r="T31" s="153">
        <f>IF($E31="Ya",IF(MIN(discSplit,valDiscSplitYaMax)&gt;=IF(H16,0,discReachZ),0,discReachZ),discReachZ)</f>
        <v>0</v>
      </c>
      <c r="U31" s="153">
        <f t="shared" si="12"/>
        <v>0</v>
      </c>
      <c r="V31" s="635">
        <f t="shared" ca="1" si="15"/>
        <v>11</v>
      </c>
      <c r="W31" s="635">
        <f t="shared" si="13"/>
        <v>11</v>
      </c>
    </row>
    <row r="32" spans="1:27" s="1" customFormat="1" ht="12.75" x14ac:dyDescent="0.2">
      <c r="A32" s="4"/>
      <c r="B32" s="135">
        <f t="shared" si="0"/>
        <v>13</v>
      </c>
      <c r="C32" s="140" t="s">
        <v>64</v>
      </c>
      <c r="D32" s="141" t="s">
        <v>63</v>
      </c>
      <c r="E32" s="140" t="s">
        <v>161</v>
      </c>
      <c r="F32" s="115">
        <f t="shared" si="1"/>
        <v>0</v>
      </c>
      <c r="G32" s="115">
        <f t="shared" si="2"/>
        <v>0</v>
      </c>
      <c r="H32" s="115">
        <f t="shared" ca="1" si="3"/>
        <v>0</v>
      </c>
      <c r="I32" s="115">
        <f t="shared" si="4"/>
        <v>0</v>
      </c>
      <c r="J32" s="153">
        <f t="shared" si="5"/>
        <v>0</v>
      </c>
      <c r="K32" s="153">
        <f t="shared" ca="1" si="6"/>
        <v>0</v>
      </c>
      <c r="L32" s="153">
        <f t="shared" ca="1" si="7"/>
        <v>0</v>
      </c>
      <c r="M32" s="115">
        <f t="shared" ca="1" si="8"/>
        <v>0</v>
      </c>
      <c r="N32" s="137">
        <v>0.375</v>
      </c>
      <c r="O32" s="149">
        <f>IF($E32="Ya",0,discAgency)</f>
        <v>0</v>
      </c>
      <c r="P32" s="153">
        <f t="shared" si="9"/>
        <v>0</v>
      </c>
      <c r="Q32" s="153">
        <f>IF($E32="Ya",IF(MIN(discSplit,valDiscSplitYaMax)&gt;=IF($F32&lt;valMinBillReachYa,0,discReachX),0,IF($F32&lt;valMinBillReachYa,0,discReachX)),discReachX)</f>
        <v>0</v>
      </c>
      <c r="R32" s="153">
        <f t="shared" si="10"/>
        <v>0</v>
      </c>
      <c r="S32" s="153">
        <f t="shared" si="11"/>
        <v>0</v>
      </c>
      <c r="T32" s="153">
        <f>IF($E32="Ya",IF(MIN(discSplit,valDiscSplitYaMax)&gt;=IF(H17,0,discReachZ),0,discReachZ),discReachZ)</f>
        <v>0</v>
      </c>
      <c r="U32" s="153">
        <f t="shared" si="12"/>
        <v>0</v>
      </c>
      <c r="V32" s="635">
        <f t="shared" ca="1" si="15"/>
        <v>8</v>
      </c>
      <c r="W32" s="635">
        <f t="shared" si="13"/>
        <v>8</v>
      </c>
    </row>
    <row r="33" spans="1:23" s="1" customFormat="1" ht="12.75" x14ac:dyDescent="0.2">
      <c r="A33" s="4"/>
      <c r="B33" s="135">
        <f t="shared" si="0"/>
        <v>14</v>
      </c>
      <c r="C33" s="140" t="s">
        <v>15</v>
      </c>
      <c r="D33" s="141" t="s">
        <v>14</v>
      </c>
      <c r="E33" s="140" t="s">
        <v>15</v>
      </c>
      <c r="F33" s="115">
        <f t="shared" si="1"/>
        <v>0</v>
      </c>
      <c r="G33" s="115">
        <f t="shared" si="2"/>
        <v>0</v>
      </c>
      <c r="H33" s="115">
        <f t="shared" ca="1" si="3"/>
        <v>0</v>
      </c>
      <c r="I33" s="115">
        <f t="shared" si="4"/>
        <v>0</v>
      </c>
      <c r="J33" s="153">
        <f t="shared" si="5"/>
        <v>0</v>
      </c>
      <c r="K33" s="153">
        <f t="shared" ca="1" si="6"/>
        <v>0</v>
      </c>
      <c r="L33" s="153">
        <f t="shared" ca="1" si="7"/>
        <v>0</v>
      </c>
      <c r="M33" s="115">
        <f t="shared" ca="1" si="8"/>
        <v>0</v>
      </c>
      <c r="N33" s="137">
        <v>0.5</v>
      </c>
      <c r="O33" s="149">
        <f>IF($E33="Ya",0,discAgency)</f>
        <v>0</v>
      </c>
      <c r="P33" s="153">
        <f t="shared" si="9"/>
        <v>0</v>
      </c>
      <c r="Q33" s="153">
        <f>IF($E33="Ya",IF(MIN(discSplit,valDiscSplitYaMax)&gt;=IF($F33&lt;valMinBillReachYa,0,discReachX),0,IF($F33&lt;valMinBillReachYa,0,discReachX)),discReachX)</f>
        <v>0</v>
      </c>
      <c r="R33" s="153">
        <f t="shared" si="10"/>
        <v>0</v>
      </c>
      <c r="S33" s="153">
        <f t="shared" si="11"/>
        <v>0</v>
      </c>
      <c r="T33" s="153">
        <f>IF($E33="Ya",IF(MIN(discSplit,valDiscSplitYaMax)&gt;=IF(H18,0,discReachZ),0,discReachZ),discReachZ)</f>
        <v>0</v>
      </c>
      <c r="U33" s="153">
        <f t="shared" si="12"/>
        <v>0</v>
      </c>
      <c r="V33" s="635">
        <f t="shared" ca="1" si="15"/>
        <v>10</v>
      </c>
      <c r="W33" s="635">
        <f t="shared" si="13"/>
        <v>10</v>
      </c>
    </row>
    <row r="34" spans="1:23" s="1" customFormat="1" ht="12.75" x14ac:dyDescent="0.2">
      <c r="A34" s="4"/>
      <c r="B34" s="135">
        <f t="shared" si="0"/>
        <v>15</v>
      </c>
      <c r="C34" s="140" t="s">
        <v>129</v>
      </c>
      <c r="D34" s="141" t="s">
        <v>474</v>
      </c>
      <c r="E34" s="140" t="s">
        <v>129</v>
      </c>
      <c r="F34" s="115">
        <f t="shared" si="1"/>
        <v>0</v>
      </c>
      <c r="G34" s="115">
        <f t="shared" si="2"/>
        <v>0</v>
      </c>
      <c r="H34" s="115">
        <f t="shared" ca="1" si="3"/>
        <v>0</v>
      </c>
      <c r="I34" s="115">
        <f t="shared" si="4"/>
        <v>0</v>
      </c>
      <c r="J34" s="153">
        <f t="shared" si="5"/>
        <v>0</v>
      </c>
      <c r="K34" s="153">
        <f t="shared" ca="1" si="6"/>
        <v>0</v>
      </c>
      <c r="L34" s="153">
        <f t="shared" ca="1" si="7"/>
        <v>0</v>
      </c>
      <c r="M34" s="115">
        <f t="shared" ca="1" si="8"/>
        <v>0</v>
      </c>
      <c r="N34" s="137">
        <v>0.4</v>
      </c>
      <c r="O34" s="149">
        <f>IF($E34="Ya",0,discAgency)</f>
        <v>0</v>
      </c>
      <c r="P34" s="153">
        <f t="shared" si="9"/>
        <v>0</v>
      </c>
      <c r="Q34" s="153">
        <f>IF($E34="Ya",IF(MIN(discSplit,valDiscSplitYaMax)&gt;=IF($F34&lt;valMinBillReachYa,0,discReachX),0,IF($F34&lt;valMinBillReachYa,0,discReachX)),discReachX)</f>
        <v>0</v>
      </c>
      <c r="R34" s="153">
        <f t="shared" si="10"/>
        <v>0</v>
      </c>
      <c r="S34" s="153">
        <f t="shared" si="11"/>
        <v>0</v>
      </c>
      <c r="T34" s="153">
        <f>IF($E34="Ya",IF(MIN(discSplit,valDiscSplitYaMax)&gt;=IF(H19,0,discReachZ),0,discReachZ),discReachZ)</f>
        <v>0</v>
      </c>
      <c r="U34" s="153">
        <f t="shared" si="12"/>
        <v>0</v>
      </c>
      <c r="V34" s="635">
        <f t="shared" ca="1" si="15"/>
        <v>28</v>
      </c>
      <c r="W34" s="635">
        <f t="shared" si="13"/>
        <v>28</v>
      </c>
    </row>
    <row r="35" spans="1:23" s="1" customFormat="1" ht="12.75" x14ac:dyDescent="0.2">
      <c r="A35" s="4"/>
      <c r="B35" s="135">
        <f t="shared" si="0"/>
        <v>16</v>
      </c>
      <c r="C35" s="140" t="s">
        <v>131</v>
      </c>
      <c r="D35" s="141" t="s">
        <v>121</v>
      </c>
      <c r="E35" s="140" t="s">
        <v>126</v>
      </c>
      <c r="F35" s="115">
        <f t="shared" si="1"/>
        <v>0</v>
      </c>
      <c r="G35" s="115">
        <f t="shared" si="2"/>
        <v>0</v>
      </c>
      <c r="H35" s="115">
        <f t="shared" ca="1" si="3"/>
        <v>0</v>
      </c>
      <c r="I35" s="115">
        <f t="shared" si="4"/>
        <v>0</v>
      </c>
      <c r="J35" s="153">
        <f t="shared" si="5"/>
        <v>0</v>
      </c>
      <c r="K35" s="153">
        <f t="shared" ca="1" si="6"/>
        <v>0</v>
      </c>
      <c r="L35" s="153">
        <f t="shared" ca="1" si="7"/>
        <v>0</v>
      </c>
      <c r="M35" s="115">
        <f t="shared" ca="1" si="8"/>
        <v>0</v>
      </c>
      <c r="N35" s="137">
        <v>0.5</v>
      </c>
      <c r="O35" s="149">
        <f>IF($E35="Ya",0,discAgency)</f>
        <v>0</v>
      </c>
      <c r="P35" s="153">
        <f t="shared" si="9"/>
        <v>0</v>
      </c>
      <c r="Q35" s="153">
        <f>IF($E35="Ya",IF(MIN(discSplit,valDiscSplitYaMax)&gt;=IF($F35&lt;valMinBillReachYa,0,discReachX),0,IF($F35&lt;valMinBillReachYa,0,discReachX)),discReachX)</f>
        <v>0</v>
      </c>
      <c r="R35" s="153">
        <f t="shared" si="10"/>
        <v>0</v>
      </c>
      <c r="S35" s="153">
        <f t="shared" si="11"/>
        <v>0</v>
      </c>
      <c r="T35" s="153">
        <f>IF($E35="Ya",IF(MIN(discSplit,valDiscSplitYaMax)&gt;=IF(H20,0,discReachZ),0,discReachZ),discReachZ)</f>
        <v>0</v>
      </c>
      <c r="U35" s="153">
        <f t="shared" si="12"/>
        <v>0</v>
      </c>
      <c r="V35" s="635">
        <f t="shared" ca="1" si="15"/>
        <v>3</v>
      </c>
      <c r="W35" s="635">
        <f t="shared" si="13"/>
        <v>3</v>
      </c>
    </row>
    <row r="36" spans="1:23" s="1" customFormat="1" ht="12.75" x14ac:dyDescent="0.2">
      <c r="A36" s="4"/>
      <c r="B36" s="135">
        <f t="shared" si="0"/>
        <v>17</v>
      </c>
      <c r="C36" s="140" t="s">
        <v>133</v>
      </c>
      <c r="D36" s="141" t="s">
        <v>122</v>
      </c>
      <c r="E36" s="140" t="s">
        <v>133</v>
      </c>
      <c r="F36" s="115">
        <f t="shared" si="1"/>
        <v>0</v>
      </c>
      <c r="G36" s="115">
        <f t="shared" si="2"/>
        <v>0</v>
      </c>
      <c r="H36" s="115">
        <f t="shared" ca="1" si="3"/>
        <v>0</v>
      </c>
      <c r="I36" s="115">
        <f t="shared" si="4"/>
        <v>0</v>
      </c>
      <c r="J36" s="153">
        <f t="shared" si="5"/>
        <v>0</v>
      </c>
      <c r="K36" s="153">
        <f t="shared" ca="1" si="6"/>
        <v>0</v>
      </c>
      <c r="L36" s="153">
        <f t="shared" ca="1" si="7"/>
        <v>0</v>
      </c>
      <c r="M36" s="115">
        <f t="shared" ca="1" si="8"/>
        <v>0</v>
      </c>
      <c r="N36" s="137">
        <v>0.5</v>
      </c>
      <c r="O36" s="149">
        <f>IF($E36="Ya",0,discAgency)</f>
        <v>0</v>
      </c>
      <c r="P36" s="153">
        <f t="shared" si="9"/>
        <v>0</v>
      </c>
      <c r="Q36" s="153">
        <f>IF($E36="Ya",IF(MIN(discSplit,valDiscSplitYaMax)&gt;=IF($F36&lt;valMinBillReachYa,0,discReachX),0,IF($F36&lt;valMinBillReachYa,0,discReachX)),discReachX)</f>
        <v>0</v>
      </c>
      <c r="R36" s="153">
        <f t="shared" si="10"/>
        <v>0</v>
      </c>
      <c r="S36" s="153">
        <f t="shared" si="11"/>
        <v>0</v>
      </c>
      <c r="T36" s="153">
        <f>IF($E36="Ya",IF(MIN(discSplit,valDiscSplitYaMax)&gt;=IF(H23,0,discReachZ),0,discReachZ),discReachZ)</f>
        <v>0</v>
      </c>
      <c r="U36" s="153">
        <f t="shared" si="12"/>
        <v>0</v>
      </c>
      <c r="V36" s="635">
        <f t="shared" ca="1" si="15"/>
        <v>16</v>
      </c>
      <c r="W36" s="635">
        <f t="shared" si="13"/>
        <v>16</v>
      </c>
    </row>
    <row r="37" spans="1:23" s="1" customFormat="1" ht="12.75" x14ac:dyDescent="0.2">
      <c r="A37" s="4"/>
      <c r="B37" s="135">
        <f t="shared" si="0"/>
        <v>18</v>
      </c>
      <c r="C37" s="140" t="s">
        <v>149</v>
      </c>
      <c r="D37" s="141" t="s">
        <v>148</v>
      </c>
      <c r="E37" s="140" t="s">
        <v>149</v>
      </c>
      <c r="F37" s="115">
        <f t="shared" si="1"/>
        <v>0</v>
      </c>
      <c r="G37" s="115">
        <f t="shared" si="2"/>
        <v>0</v>
      </c>
      <c r="H37" s="115">
        <f t="shared" ca="1" si="3"/>
        <v>0</v>
      </c>
      <c r="I37" s="115">
        <f t="shared" si="4"/>
        <v>0</v>
      </c>
      <c r="J37" s="153">
        <f t="shared" si="5"/>
        <v>0</v>
      </c>
      <c r="K37" s="153">
        <f t="shared" ca="1" si="6"/>
        <v>0</v>
      </c>
      <c r="L37" s="153">
        <f t="shared" ca="1" si="7"/>
        <v>0</v>
      </c>
      <c r="M37" s="115">
        <f t="shared" ca="1" si="8"/>
        <v>0</v>
      </c>
      <c r="N37" s="137">
        <v>0.5</v>
      </c>
      <c r="O37" s="149">
        <f>IF($E37="Ya",0,discAgency)</f>
        <v>0</v>
      </c>
      <c r="P37" s="153">
        <f t="shared" si="9"/>
        <v>0</v>
      </c>
      <c r="Q37" s="153">
        <f>IF($E37="Ya",IF(MIN(discSplit,valDiscSplitYaMax)&gt;=IF($F37&lt;valMinBillReachYa,0,discReachX),0,IF($F37&lt;valMinBillReachYa,0,discReachX)),discReachX)</f>
        <v>0</v>
      </c>
      <c r="R37" s="153">
        <f t="shared" si="10"/>
        <v>0</v>
      </c>
      <c r="S37" s="153">
        <f t="shared" si="11"/>
        <v>0</v>
      </c>
      <c r="T37" s="153">
        <f>IF($E37="Ya",IF(MIN(discSplit,valDiscSplitYaMax)&gt;=IF(H29,0,discReachZ),0,discReachZ),discReachZ)</f>
        <v>0</v>
      </c>
      <c r="U37" s="153">
        <f t="shared" si="12"/>
        <v>0</v>
      </c>
      <c r="V37" s="635">
        <f t="shared" ca="1" si="15"/>
        <v>16</v>
      </c>
      <c r="W37" s="635">
        <f t="shared" si="13"/>
        <v>16</v>
      </c>
    </row>
    <row r="38" spans="1:23" s="1" customFormat="1" ht="12.75" x14ac:dyDescent="0.2">
      <c r="A38" s="4"/>
      <c r="B38" s="135">
        <f t="shared" si="0"/>
        <v>19</v>
      </c>
      <c r="C38" s="140" t="s">
        <v>128</v>
      </c>
      <c r="D38" s="141" t="s">
        <v>78</v>
      </c>
      <c r="E38" s="140" t="s">
        <v>128</v>
      </c>
      <c r="F38" s="115">
        <f t="shared" si="1"/>
        <v>0</v>
      </c>
      <c r="G38" s="115">
        <f t="shared" si="2"/>
        <v>0</v>
      </c>
      <c r="H38" s="115">
        <f t="shared" ca="1" si="3"/>
        <v>0</v>
      </c>
      <c r="I38" s="115">
        <f t="shared" si="4"/>
        <v>0</v>
      </c>
      <c r="J38" s="153">
        <f t="shared" si="5"/>
        <v>0</v>
      </c>
      <c r="K38" s="153">
        <f t="shared" ca="1" si="6"/>
        <v>0</v>
      </c>
      <c r="L38" s="153">
        <f t="shared" ca="1" si="7"/>
        <v>0</v>
      </c>
      <c r="M38" s="115">
        <f t="shared" ca="1" si="8"/>
        <v>0</v>
      </c>
      <c r="N38" s="137">
        <v>0.5</v>
      </c>
      <c r="O38" s="149">
        <f>IF($E38="Ya",0,discAgency)</f>
        <v>0</v>
      </c>
      <c r="P38" s="153">
        <f t="shared" si="9"/>
        <v>0</v>
      </c>
      <c r="Q38" s="153">
        <f>IF($E38="Ya",IF(MIN(discSplit,valDiscSplitYaMax)&gt;=IF($F38&lt;valMinBillReachYa,0,discReachX),0,IF($F38&lt;valMinBillReachYa,0,discReachX)),discReachX)</f>
        <v>0</v>
      </c>
      <c r="R38" s="153">
        <f t="shared" si="10"/>
        <v>0</v>
      </c>
      <c r="S38" s="153">
        <f t="shared" si="11"/>
        <v>0</v>
      </c>
      <c r="T38" s="153">
        <f>IF($E38="Ya",IF(MIN(discSplit,valDiscSplitYaMax)&gt;=IF(H30,0,discReachZ),0,discReachZ),discReachZ)</f>
        <v>0</v>
      </c>
      <c r="U38" s="153">
        <f t="shared" si="12"/>
        <v>0</v>
      </c>
      <c r="V38" s="635">
        <f t="shared" ca="1" si="15"/>
        <v>3</v>
      </c>
      <c r="W38" s="635">
        <f t="shared" si="13"/>
        <v>3</v>
      </c>
    </row>
    <row r="39" spans="1:23" s="1" customFormat="1" ht="12.75" x14ac:dyDescent="0.2">
      <c r="A39" s="4"/>
      <c r="B39" s="135">
        <f t="shared" si="0"/>
        <v>20</v>
      </c>
      <c r="C39" s="140" t="s">
        <v>135</v>
      </c>
      <c r="D39" s="141" t="s">
        <v>123</v>
      </c>
      <c r="E39" s="140" t="s">
        <v>135</v>
      </c>
      <c r="F39" s="115">
        <f t="shared" si="1"/>
        <v>0</v>
      </c>
      <c r="G39" s="115">
        <f t="shared" si="2"/>
        <v>0</v>
      </c>
      <c r="H39" s="115">
        <f t="shared" ca="1" si="3"/>
        <v>0</v>
      </c>
      <c r="I39" s="115">
        <f t="shared" si="4"/>
        <v>0</v>
      </c>
      <c r="J39" s="153">
        <f t="shared" si="5"/>
        <v>0</v>
      </c>
      <c r="K39" s="153">
        <f t="shared" ca="1" si="6"/>
        <v>0</v>
      </c>
      <c r="L39" s="153">
        <f t="shared" ca="1" si="7"/>
        <v>0</v>
      </c>
      <c r="M39" s="115">
        <f t="shared" ca="1" si="8"/>
        <v>0</v>
      </c>
      <c r="N39" s="137">
        <v>0.5</v>
      </c>
      <c r="O39" s="149">
        <f>IF($E39="Ya",0,discAgency)</f>
        <v>0</v>
      </c>
      <c r="P39" s="153">
        <f t="shared" si="9"/>
        <v>0</v>
      </c>
      <c r="Q39" s="153">
        <f>IF($E39="Ya",IF(MIN(discSplit,valDiscSplitYaMax)&gt;=IF($F39&lt;valMinBillReachYa,0,discReachX),0,IF($F39&lt;valMinBillReachYa,0,discReachX)),discReachX)</f>
        <v>0</v>
      </c>
      <c r="R39" s="153">
        <f t="shared" si="10"/>
        <v>0</v>
      </c>
      <c r="S39" s="153">
        <f t="shared" si="11"/>
        <v>0</v>
      </c>
      <c r="T39" s="153">
        <f>IF($E39="Ya",IF(MIN(discSplit,valDiscSplitYaMax)&gt;=IF(H31,0,discReachZ),0,discReachZ),discReachZ)</f>
        <v>0</v>
      </c>
      <c r="U39" s="153">
        <f t="shared" si="12"/>
        <v>0</v>
      </c>
      <c r="V39" s="635">
        <f t="shared" ca="1" si="15"/>
        <v>4</v>
      </c>
      <c r="W39" s="635">
        <f t="shared" si="13"/>
        <v>4</v>
      </c>
    </row>
    <row r="40" spans="1:23" s="1" customFormat="1" ht="12.75" x14ac:dyDescent="0.2">
      <c r="A40" s="4"/>
      <c r="B40" s="135">
        <f t="shared" si="0"/>
        <v>21</v>
      </c>
      <c r="C40" s="140" t="s">
        <v>132</v>
      </c>
      <c r="D40" s="141" t="s">
        <v>94</v>
      </c>
      <c r="E40" s="140" t="s">
        <v>132</v>
      </c>
      <c r="F40" s="115">
        <f t="shared" si="1"/>
        <v>0</v>
      </c>
      <c r="G40" s="115">
        <f t="shared" si="2"/>
        <v>0</v>
      </c>
      <c r="H40" s="115">
        <f t="shared" ca="1" si="3"/>
        <v>0</v>
      </c>
      <c r="I40" s="115">
        <f t="shared" si="4"/>
        <v>0</v>
      </c>
      <c r="J40" s="153">
        <f t="shared" si="5"/>
        <v>0</v>
      </c>
      <c r="K40" s="153">
        <f t="shared" ca="1" si="6"/>
        <v>0</v>
      </c>
      <c r="L40" s="153">
        <f t="shared" ca="1" si="7"/>
        <v>0</v>
      </c>
      <c r="M40" s="115">
        <f t="shared" ca="1" si="8"/>
        <v>0</v>
      </c>
      <c r="N40" s="137">
        <v>0.5</v>
      </c>
      <c r="O40" s="149">
        <f>IF($E40="Ya",0,discAgency)</f>
        <v>0</v>
      </c>
      <c r="P40" s="153">
        <f t="shared" si="9"/>
        <v>0</v>
      </c>
      <c r="Q40" s="153">
        <f>IF($E40="Ya",IF(MIN(discSplit,valDiscSplitYaMax)&gt;=IF($F40&lt;valMinBillReachYa,0,discReachX),0,IF($F40&lt;valMinBillReachYa,0,discReachX)),discReachX)</f>
        <v>0</v>
      </c>
      <c r="R40" s="153">
        <f t="shared" si="10"/>
        <v>0</v>
      </c>
      <c r="S40" s="153">
        <f t="shared" si="11"/>
        <v>0</v>
      </c>
      <c r="T40" s="153">
        <f>IF($E40="Ya",IF(MIN(discSplit,valDiscSplitYaMax)&gt;=IF(H32,0,discReachZ),0,discReachZ),discReachZ)</f>
        <v>0</v>
      </c>
      <c r="U40" s="153">
        <f t="shared" si="12"/>
        <v>0</v>
      </c>
      <c r="V40" s="635">
        <f t="shared" ca="1" si="15"/>
        <v>3</v>
      </c>
      <c r="W40" s="635">
        <f t="shared" si="13"/>
        <v>3</v>
      </c>
    </row>
    <row r="41" spans="1:23" s="1" customFormat="1" ht="12.75" x14ac:dyDescent="0.2">
      <c r="A41" s="4"/>
      <c r="B41" s="135">
        <f t="shared" si="0"/>
        <v>22</v>
      </c>
      <c r="C41" s="140" t="s">
        <v>861</v>
      </c>
      <c r="D41" s="141" t="s">
        <v>862</v>
      </c>
      <c r="E41" s="140" t="s">
        <v>861</v>
      </c>
      <c r="F41" s="115">
        <f t="shared" si="1"/>
        <v>0</v>
      </c>
      <c r="G41" s="115">
        <f t="shared" si="2"/>
        <v>0</v>
      </c>
      <c r="H41" s="115">
        <f t="shared" ca="1" si="3"/>
        <v>0</v>
      </c>
      <c r="I41" s="115">
        <f t="shared" si="4"/>
        <v>0</v>
      </c>
      <c r="J41" s="153">
        <f t="shared" si="5"/>
        <v>0</v>
      </c>
      <c r="K41" s="153">
        <f t="shared" ca="1" si="6"/>
        <v>0</v>
      </c>
      <c r="L41" s="153">
        <f t="shared" ca="1" si="7"/>
        <v>0</v>
      </c>
      <c r="M41" s="115">
        <f t="shared" ca="1" si="8"/>
        <v>0</v>
      </c>
      <c r="N41" s="137">
        <v>0.5</v>
      </c>
      <c r="O41" s="149">
        <f>IF($E41="Ya",0,discAgency)</f>
        <v>0</v>
      </c>
      <c r="P41" s="153">
        <f t="shared" si="9"/>
        <v>0</v>
      </c>
      <c r="Q41" s="153">
        <f>IF($E41="Ya",IF(MIN(discSplit,valDiscSplitYaMax)&gt;=IF($F41&lt;valMinBillReachYa,0,discReachX),0,IF($F41&lt;valMinBillReachYa,0,discReachX)),discReachX)</f>
        <v>0</v>
      </c>
      <c r="R41" s="153">
        <f t="shared" si="10"/>
        <v>0</v>
      </c>
      <c r="S41" s="153">
        <f t="shared" si="11"/>
        <v>0</v>
      </c>
      <c r="T41" s="153">
        <f>IF($E41="Ya",IF(MIN(discSplit,valDiscSplitYaMax)&gt;=IF(H34,0,discReachZ),0,discReachZ),discReachZ)</f>
        <v>0</v>
      </c>
      <c r="U41" s="153">
        <f t="shared" si="12"/>
        <v>0</v>
      </c>
      <c r="V41" s="635">
        <f t="shared" ca="1" si="15"/>
        <v>14</v>
      </c>
      <c r="W41" s="635">
        <f t="shared" si="13"/>
        <v>14</v>
      </c>
    </row>
    <row r="42" spans="1:23" s="1" customFormat="1" ht="12.75" x14ac:dyDescent="0.2">
      <c r="A42" s="4"/>
      <c r="B42" s="135">
        <f t="shared" si="0"/>
        <v>23</v>
      </c>
      <c r="C42" s="140" t="s">
        <v>708</v>
      </c>
      <c r="D42" s="141" t="s">
        <v>709</v>
      </c>
      <c r="E42" s="140" t="s">
        <v>708</v>
      </c>
      <c r="F42" s="115">
        <f t="shared" si="1"/>
        <v>0</v>
      </c>
      <c r="G42" s="115">
        <f t="shared" si="2"/>
        <v>0</v>
      </c>
      <c r="H42" s="115">
        <f t="shared" ca="1" si="3"/>
        <v>0</v>
      </c>
      <c r="I42" s="115">
        <f t="shared" si="4"/>
        <v>0</v>
      </c>
      <c r="J42" s="153">
        <f t="shared" si="5"/>
        <v>0</v>
      </c>
      <c r="K42" s="153">
        <f t="shared" ca="1" si="6"/>
        <v>0</v>
      </c>
      <c r="L42" s="153">
        <f t="shared" ca="1" si="7"/>
        <v>0</v>
      </c>
      <c r="M42" s="115">
        <f t="shared" ca="1" si="8"/>
        <v>0</v>
      </c>
      <c r="N42" s="137">
        <v>0.5</v>
      </c>
      <c r="O42" s="149">
        <f>IF($E42="Ya",0,discAgency)</f>
        <v>0</v>
      </c>
      <c r="P42" s="153">
        <f t="shared" si="9"/>
        <v>0</v>
      </c>
      <c r="Q42" s="153">
        <f>IF($E42="Ya",IF(MIN(discSplit,valDiscSplitYaMax)&gt;=IF($F42&lt;valMinBillReachYa,0,discReachX),0,IF($F42&lt;valMinBillReachYa,0,discReachX)),discReachX)</f>
        <v>0</v>
      </c>
      <c r="R42" s="153">
        <f t="shared" si="10"/>
        <v>0</v>
      </c>
      <c r="S42" s="153">
        <f t="shared" si="11"/>
        <v>0</v>
      </c>
      <c r="T42" s="153">
        <f>IF($E42="Ya",IF(MIN(discSplit,valDiscSplitYaMax)&gt;=IF(H35,0,discReachZ),0,discReachZ),discReachZ)</f>
        <v>0</v>
      </c>
      <c r="U42" s="153">
        <f t="shared" si="12"/>
        <v>0</v>
      </c>
      <c r="V42" s="635">
        <f t="shared" ref="V42" ca="1" si="19">ROWS(INDIRECT(LOWER(C42)&amp;"Price"))-2</f>
        <v>6</v>
      </c>
      <c r="W42" s="635">
        <f t="shared" si="13"/>
        <v>6</v>
      </c>
    </row>
    <row r="43" spans="1:23" s="1" customFormat="1" ht="12.75" x14ac:dyDescent="0.2">
      <c r="A43" s="4"/>
      <c r="B43" s="135">
        <f t="shared" si="0"/>
        <v>24</v>
      </c>
      <c r="C43" s="140" t="s">
        <v>71</v>
      </c>
      <c r="D43" s="141" t="s">
        <v>70</v>
      </c>
      <c r="E43" s="140" t="s">
        <v>71</v>
      </c>
      <c r="F43" s="115">
        <f t="shared" si="1"/>
        <v>0</v>
      </c>
      <c r="G43" s="115">
        <f t="shared" si="2"/>
        <v>0</v>
      </c>
      <c r="H43" s="115">
        <f t="shared" ca="1" si="3"/>
        <v>0</v>
      </c>
      <c r="I43" s="115">
        <f t="shared" si="4"/>
        <v>0</v>
      </c>
      <c r="J43" s="153">
        <f t="shared" si="5"/>
        <v>0</v>
      </c>
      <c r="K43" s="153">
        <f t="shared" ca="1" si="6"/>
        <v>0</v>
      </c>
      <c r="L43" s="153">
        <f t="shared" ca="1" si="7"/>
        <v>0</v>
      </c>
      <c r="M43" s="115">
        <f t="shared" ca="1" si="8"/>
        <v>0</v>
      </c>
      <c r="N43" s="137">
        <v>0.5</v>
      </c>
      <c r="O43" s="149">
        <f>IF($E43="Ya",0,discAgency)</f>
        <v>0</v>
      </c>
      <c r="P43" s="153">
        <f t="shared" si="9"/>
        <v>0</v>
      </c>
      <c r="Q43" s="153">
        <f>IF($E43="Ya",IF(MIN(discSplit,valDiscSplitYaMax)&gt;=IF($F43&lt;valMinBillReachYa,0,discReachX),0,IF($F43&lt;valMinBillReachYa,0,discReachX)),discReachX)</f>
        <v>0</v>
      </c>
      <c r="R43" s="153">
        <f t="shared" si="10"/>
        <v>0</v>
      </c>
      <c r="S43" s="153">
        <f t="shared" si="11"/>
        <v>0</v>
      </c>
      <c r="T43" s="153">
        <f>IF($E43="Ya",IF(MIN(discSplit,valDiscSplitYaMax)&gt;=IF(H35,0,discReachZ),0,discReachZ),discReachZ)</f>
        <v>0</v>
      </c>
      <c r="U43" s="153">
        <f t="shared" si="12"/>
        <v>0</v>
      </c>
      <c r="V43" s="635">
        <f t="shared" ca="1" si="15"/>
        <v>4</v>
      </c>
      <c r="W43" s="635">
        <f t="shared" si="13"/>
        <v>4</v>
      </c>
    </row>
    <row r="44" spans="1:23" s="1" customFormat="1" ht="12.75" x14ac:dyDescent="0.2">
      <c r="A44" s="4"/>
      <c r="B44" s="135">
        <f t="shared" si="0"/>
        <v>25</v>
      </c>
      <c r="C44" s="140" t="s">
        <v>47</v>
      </c>
      <c r="D44" s="141" t="s">
        <v>46</v>
      </c>
      <c r="E44" s="140" t="s">
        <v>47</v>
      </c>
      <c r="F44" s="115">
        <f t="shared" si="1"/>
        <v>0</v>
      </c>
      <c r="G44" s="115">
        <f t="shared" si="2"/>
        <v>0</v>
      </c>
      <c r="H44" s="115">
        <f t="shared" ca="1" si="3"/>
        <v>0</v>
      </c>
      <c r="I44" s="115">
        <f t="shared" si="4"/>
        <v>0</v>
      </c>
      <c r="J44" s="153">
        <f t="shared" si="5"/>
        <v>0</v>
      </c>
      <c r="K44" s="153">
        <f t="shared" ca="1" si="6"/>
        <v>0</v>
      </c>
      <c r="L44" s="153">
        <f t="shared" ca="1" si="7"/>
        <v>0</v>
      </c>
      <c r="M44" s="115">
        <f t="shared" ca="1" si="8"/>
        <v>0</v>
      </c>
      <c r="N44" s="137">
        <v>0.5</v>
      </c>
      <c r="O44" s="149">
        <f>IF($E44="Ya",0,discAgency)</f>
        <v>0</v>
      </c>
      <c r="P44" s="153">
        <f t="shared" si="9"/>
        <v>0</v>
      </c>
      <c r="Q44" s="153">
        <f>IF($E44="Ya",IF(MIN(discSplit,valDiscSplitYaMax)&gt;=IF($F44&lt;valMinBillReachYa,0,discReachX),0,IF($F44&lt;valMinBillReachYa,0,discReachX)),discReachX)</f>
        <v>0</v>
      </c>
      <c r="R44" s="153">
        <f t="shared" si="10"/>
        <v>0</v>
      </c>
      <c r="S44" s="153">
        <f t="shared" si="11"/>
        <v>0</v>
      </c>
      <c r="T44" s="153">
        <f>IF($E44="Ya",IF(MIN(discSplit,valDiscSplitYaMax)&gt;=IF(#REF!,0,discReachZ),0,discReachZ),discReachZ)</f>
        <v>0</v>
      </c>
      <c r="U44" s="153">
        <f t="shared" si="12"/>
        <v>0</v>
      </c>
      <c r="V44" s="635">
        <f t="shared" ca="1" si="15"/>
        <v>5</v>
      </c>
      <c r="W44" s="635">
        <f t="shared" si="13"/>
        <v>5</v>
      </c>
    </row>
    <row r="45" spans="1:23" s="1" customFormat="1" ht="12.75" x14ac:dyDescent="0.2">
      <c r="A45" s="4"/>
      <c r="B45" s="135">
        <f t="shared" si="0"/>
        <v>26</v>
      </c>
      <c r="C45" s="142" t="s">
        <v>61</v>
      </c>
      <c r="D45" s="141" t="s">
        <v>59</v>
      </c>
      <c r="E45" s="142" t="s">
        <v>61</v>
      </c>
      <c r="F45" s="115">
        <f t="shared" si="1"/>
        <v>0</v>
      </c>
      <c r="G45" s="115">
        <f t="shared" si="2"/>
        <v>0</v>
      </c>
      <c r="H45" s="115">
        <f t="shared" ca="1" si="3"/>
        <v>0</v>
      </c>
      <c r="I45" s="115">
        <f t="shared" si="4"/>
        <v>0</v>
      </c>
      <c r="J45" s="153">
        <f t="shared" si="5"/>
        <v>0</v>
      </c>
      <c r="K45" s="153">
        <f t="shared" ca="1" si="6"/>
        <v>0</v>
      </c>
      <c r="L45" s="153">
        <f t="shared" ca="1" si="7"/>
        <v>0</v>
      </c>
      <c r="M45" s="115">
        <f t="shared" ca="1" si="8"/>
        <v>0</v>
      </c>
      <c r="N45" s="137">
        <v>0.5</v>
      </c>
      <c r="O45" s="149">
        <f>IF($E45="Ya",0,discAgency)</f>
        <v>0</v>
      </c>
      <c r="P45" s="153">
        <f t="shared" si="9"/>
        <v>0</v>
      </c>
      <c r="Q45" s="153">
        <f>IF($E45="Ya",IF(MIN(discSplit,valDiscSplitYaMax)&gt;=IF($F45&lt;valMinBillReachYa,0,discReachX),0,IF($F45&lt;valMinBillReachYa,0,discReachX)),discReachX)</f>
        <v>0</v>
      </c>
      <c r="R45" s="153">
        <f t="shared" si="10"/>
        <v>0</v>
      </c>
      <c r="S45" s="153">
        <f t="shared" si="11"/>
        <v>0</v>
      </c>
      <c r="T45" s="153">
        <f>IF($E45="Ya",IF(MIN(discSplit,valDiscSplitYaMax)&gt;=IF(#REF!,0,discReachZ),0,discReachZ),discReachZ)</f>
        <v>0</v>
      </c>
      <c r="U45" s="153">
        <f t="shared" si="12"/>
        <v>0</v>
      </c>
      <c r="V45" s="635">
        <f t="shared" ca="1" si="15"/>
        <v>6</v>
      </c>
      <c r="W45" s="635">
        <f t="shared" si="13"/>
        <v>6</v>
      </c>
    </row>
    <row r="46" spans="1:23" s="1" customFormat="1" ht="12.75" x14ac:dyDescent="0.2">
      <c r="A46" s="4"/>
      <c r="B46" s="135">
        <f t="shared" si="0"/>
        <v>27</v>
      </c>
      <c r="C46" s="142" t="s">
        <v>571</v>
      </c>
      <c r="D46" s="141" t="s">
        <v>572</v>
      </c>
      <c r="E46" s="142" t="s">
        <v>571</v>
      </c>
      <c r="F46" s="115">
        <f t="shared" si="1"/>
        <v>0</v>
      </c>
      <c r="G46" s="115">
        <f t="shared" si="2"/>
        <v>0</v>
      </c>
      <c r="H46" s="115">
        <f t="shared" ca="1" si="3"/>
        <v>0</v>
      </c>
      <c r="I46" s="115">
        <f t="shared" si="4"/>
        <v>0</v>
      </c>
      <c r="J46" s="153">
        <f t="shared" si="5"/>
        <v>0</v>
      </c>
      <c r="K46" s="153">
        <f t="shared" ca="1" si="6"/>
        <v>0</v>
      </c>
      <c r="L46" s="153">
        <f t="shared" ca="1" si="7"/>
        <v>0</v>
      </c>
      <c r="M46" s="115">
        <f t="shared" ca="1" si="8"/>
        <v>0</v>
      </c>
      <c r="N46" s="137">
        <v>0.5</v>
      </c>
      <c r="O46" s="149">
        <f>IF($E46="Ya",0,discAgency)</f>
        <v>0</v>
      </c>
      <c r="P46" s="153">
        <f t="shared" si="9"/>
        <v>0</v>
      </c>
      <c r="Q46" s="153">
        <f>IF($E46="Ya",IF(MIN(discSplit,valDiscSplitYaMax)&gt;=IF($F46&lt;valMinBillReachYa,0,discReachX),0,IF($F46&lt;valMinBillReachYa,0,discReachX)),discReachX)</f>
        <v>0</v>
      </c>
      <c r="R46" s="153">
        <f t="shared" si="10"/>
        <v>0</v>
      </c>
      <c r="S46" s="153">
        <f t="shared" si="11"/>
        <v>0</v>
      </c>
      <c r="T46" s="153">
        <f>IF($E46="Ya",IF(MIN(discSplit,valDiscSplitYaMax)&gt;=IF(#REF!,0,discReachZ),0,discReachZ),discReachZ)</f>
        <v>0</v>
      </c>
      <c r="U46" s="153">
        <f t="shared" si="12"/>
        <v>0</v>
      </c>
      <c r="V46" s="635">
        <f t="shared" ref="V46" ca="1" si="20">ROWS(INDIRECT(LOWER(C46)&amp;"Price"))-2</f>
        <v>6</v>
      </c>
      <c r="W46" s="635">
        <f t="shared" si="13"/>
        <v>6</v>
      </c>
    </row>
    <row r="47" spans="1:23" s="1" customFormat="1" ht="12.75" x14ac:dyDescent="0.2">
      <c r="A47" s="4"/>
      <c r="B47" s="135">
        <f t="shared" si="0"/>
        <v>28</v>
      </c>
      <c r="C47" s="140" t="s">
        <v>130</v>
      </c>
      <c r="D47" s="141" t="s">
        <v>120</v>
      </c>
      <c r="E47" s="140" t="s">
        <v>126</v>
      </c>
      <c r="F47" s="115">
        <f t="shared" si="1"/>
        <v>0</v>
      </c>
      <c r="G47" s="115">
        <f t="shared" si="2"/>
        <v>0</v>
      </c>
      <c r="H47" s="115">
        <f t="shared" ca="1" si="3"/>
        <v>0</v>
      </c>
      <c r="I47" s="115">
        <f t="shared" si="4"/>
        <v>0</v>
      </c>
      <c r="J47" s="153">
        <f t="shared" si="5"/>
        <v>0</v>
      </c>
      <c r="K47" s="153">
        <f t="shared" ca="1" si="6"/>
        <v>0</v>
      </c>
      <c r="L47" s="153">
        <f t="shared" ca="1" si="7"/>
        <v>0</v>
      </c>
      <c r="M47" s="115">
        <f t="shared" ca="1" si="8"/>
        <v>0</v>
      </c>
      <c r="N47" s="137">
        <v>0.5</v>
      </c>
      <c r="O47" s="149">
        <f>IF($E47="Ya",0,discAgency)</f>
        <v>0</v>
      </c>
      <c r="P47" s="153">
        <f t="shared" si="9"/>
        <v>0</v>
      </c>
      <c r="Q47" s="153">
        <f>IF($E47="Ya",IF(MIN(discSplit,valDiscSplitYaMax)&gt;=IF($F47&lt;valMinBillReachYa,0,discReachX),0,IF($F47&lt;valMinBillReachYa,0,discReachX)),discReachX)</f>
        <v>0</v>
      </c>
      <c r="R47" s="153">
        <f t="shared" si="10"/>
        <v>0</v>
      </c>
      <c r="S47" s="153">
        <f t="shared" si="11"/>
        <v>0</v>
      </c>
      <c r="T47" s="153">
        <f>IF($E47="Ya",IF(MIN(discSplit,valDiscSplitYaMax)&gt;=IF(H37,0,discReachZ),0,discReachZ),discReachZ)</f>
        <v>0</v>
      </c>
      <c r="U47" s="153">
        <f t="shared" si="12"/>
        <v>0</v>
      </c>
      <c r="V47" s="635">
        <f t="shared" ca="1" si="15"/>
        <v>4</v>
      </c>
      <c r="W47" s="635">
        <f t="shared" si="13"/>
        <v>4</v>
      </c>
    </row>
    <row r="48" spans="1:23" s="1" customFormat="1" ht="12.75" x14ac:dyDescent="0.2">
      <c r="A48" s="4"/>
      <c r="B48" s="135">
        <f t="shared" si="0"/>
        <v>29</v>
      </c>
      <c r="C48" s="140" t="s">
        <v>73</v>
      </c>
      <c r="D48" s="141" t="s">
        <v>72</v>
      </c>
      <c r="E48" s="140" t="s">
        <v>73</v>
      </c>
      <c r="F48" s="115">
        <f t="shared" si="1"/>
        <v>0</v>
      </c>
      <c r="G48" s="115">
        <f t="shared" si="2"/>
        <v>0</v>
      </c>
      <c r="H48" s="115">
        <f t="shared" ca="1" si="3"/>
        <v>0</v>
      </c>
      <c r="I48" s="115">
        <f t="shared" si="4"/>
        <v>0</v>
      </c>
      <c r="J48" s="153">
        <f t="shared" si="5"/>
        <v>0</v>
      </c>
      <c r="K48" s="153">
        <f t="shared" ca="1" si="6"/>
        <v>0</v>
      </c>
      <c r="L48" s="153">
        <f t="shared" ca="1" si="7"/>
        <v>0</v>
      </c>
      <c r="M48" s="115">
        <f t="shared" ca="1" si="8"/>
        <v>0</v>
      </c>
      <c r="N48" s="137">
        <v>0.5</v>
      </c>
      <c r="O48" s="149">
        <f>IF($E48="Ya",0,discAgency)</f>
        <v>0</v>
      </c>
      <c r="P48" s="153">
        <f t="shared" si="9"/>
        <v>0</v>
      </c>
      <c r="Q48" s="153">
        <f>IF($E48="Ya",IF(MIN(discSplit,valDiscSplitYaMax)&gt;=IF($F48&lt;valMinBillReachYa,0,discReachX),0,IF($F48&lt;valMinBillReachYa,0,discReachX)),discReachX)</f>
        <v>0</v>
      </c>
      <c r="R48" s="153">
        <f t="shared" si="10"/>
        <v>0</v>
      </c>
      <c r="S48" s="153">
        <f t="shared" si="11"/>
        <v>0</v>
      </c>
      <c r="T48" s="153">
        <f>IF($E48="Ya",IF(MIN(discSplit,valDiscSplitYaMax)&gt;=IF(H39,0,discReachZ),0,discReachZ),discReachZ)</f>
        <v>0</v>
      </c>
      <c r="U48" s="153">
        <f t="shared" si="12"/>
        <v>0</v>
      </c>
      <c r="V48" s="635">
        <f t="shared" ca="1" si="15"/>
        <v>17</v>
      </c>
      <c r="W48" s="635">
        <f t="shared" si="13"/>
        <v>17</v>
      </c>
    </row>
    <row r="49" spans="1:28" s="1" customFormat="1" ht="12.75" x14ac:dyDescent="0.2">
      <c r="A49" s="4"/>
      <c r="B49" s="135">
        <f t="shared" si="0"/>
        <v>30</v>
      </c>
      <c r="C49" s="140" t="s">
        <v>472</v>
      </c>
      <c r="D49" s="141" t="s">
        <v>665</v>
      </c>
      <c r="E49" s="140" t="s">
        <v>472</v>
      </c>
      <c r="F49" s="115">
        <f t="shared" si="1"/>
        <v>0</v>
      </c>
      <c r="G49" s="115">
        <f t="shared" si="2"/>
        <v>0</v>
      </c>
      <c r="H49" s="115">
        <f t="shared" ca="1" si="3"/>
        <v>0</v>
      </c>
      <c r="I49" s="115">
        <f t="shared" si="4"/>
        <v>0</v>
      </c>
      <c r="J49" s="153">
        <f t="shared" si="5"/>
        <v>0</v>
      </c>
      <c r="K49" s="153">
        <f t="shared" ca="1" si="6"/>
        <v>0</v>
      </c>
      <c r="L49" s="153">
        <f t="shared" ca="1" si="7"/>
        <v>0</v>
      </c>
      <c r="M49" s="115">
        <f t="shared" ca="1" si="8"/>
        <v>0</v>
      </c>
      <c r="N49" s="137">
        <v>0.4</v>
      </c>
      <c r="O49" s="149">
        <f>IF($E49="Ya",0,discAgency)</f>
        <v>0</v>
      </c>
      <c r="P49" s="153">
        <f t="shared" si="9"/>
        <v>0</v>
      </c>
      <c r="Q49" s="153">
        <f>IF($E49="Ya",IF(MIN(discSplit,valDiscSplitYaMax)&gt;=IF($F49&lt;valMinBillReachYa,0,discReachX),0,IF($F49&lt;valMinBillReachYa,0,discReachX)),discReachX)</f>
        <v>0</v>
      </c>
      <c r="R49" s="153">
        <f t="shared" si="10"/>
        <v>0</v>
      </c>
      <c r="S49" s="153">
        <f t="shared" si="11"/>
        <v>0</v>
      </c>
      <c r="T49" s="153">
        <f>IF($E49="Ya",IF(MIN(discSplit,valDiscSplitYaMax)&gt;=IF(#REF!,0,discReachZ),0,discReachZ),discReachZ)</f>
        <v>0</v>
      </c>
      <c r="U49" s="153">
        <f t="shared" si="12"/>
        <v>0</v>
      </c>
      <c r="V49" s="635">
        <f t="shared" ca="1" si="15"/>
        <v>13</v>
      </c>
      <c r="W49" s="635">
        <f t="shared" si="13"/>
        <v>13</v>
      </c>
    </row>
    <row r="50" spans="1:28" s="1" customFormat="1" ht="12.75" x14ac:dyDescent="0.2">
      <c r="A50" s="4"/>
      <c r="B50" s="52"/>
      <c r="C50" s="133"/>
      <c r="D50" s="51"/>
      <c r="E50" s="52"/>
      <c r="F50" s="144"/>
      <c r="G50" s="144"/>
      <c r="H50" s="144"/>
      <c r="I50" s="144"/>
      <c r="J50" s="144"/>
      <c r="K50" s="144"/>
      <c r="L50" s="144"/>
      <c r="M50" s="144"/>
      <c r="N50" s="53"/>
      <c r="O50" s="150"/>
      <c r="P50" s="144"/>
      <c r="Q50" s="144"/>
      <c r="R50" s="150"/>
      <c r="S50" s="144"/>
      <c r="T50" s="144"/>
      <c r="U50" s="150"/>
      <c r="V50" s="150"/>
      <c r="W50" s="150"/>
    </row>
    <row r="51" spans="1:28" s="1" customFormat="1" ht="12.75" x14ac:dyDescent="0.2">
      <c r="A51" s="4"/>
      <c r="B51" s="52">
        <f>ROWS(indPrefixX)-1</f>
        <v>31</v>
      </c>
      <c r="C51" s="133"/>
      <c r="D51" s="51"/>
      <c r="E51" s="52"/>
      <c r="F51" s="144">
        <f>SUM(indBudX)</f>
        <v>0</v>
      </c>
      <c r="G51" s="144">
        <f>SUM(indBudDiscX)</f>
        <v>0</v>
      </c>
      <c r="H51" s="144">
        <f ca="1">SUM(indBudDiscZX)</f>
        <v>0</v>
      </c>
      <c r="I51" s="144">
        <f ca="1">SUM(indBudDiscZX)</f>
        <v>0</v>
      </c>
      <c r="J51" s="150">
        <f t="array" aca="1" ref="J51" ca="1">IF(ISERROR(SUM(OFFSET(indBudDiscX,1,0,indN,1)*OFFSET(indDiscX,1,0,indN,1))/$G$51),0,SUM(OFFSET(indBudDiscX,1,0,indN,1)*OFFSET(indDiscX,1,0,indN,1))/$G$51)</f>
        <v>0</v>
      </c>
      <c r="K51" s="150">
        <f t="array" aca="1" ref="K51" ca="1">IF(ISERROR(SUM(OFFSET(indBudDiscZX,1,0,indN,1)*OFFSET(indDiscZX,1,0,indN,1))/$H$51),0,SUM(OFFSET(indBudDiscZX,1,0,indN,1)*OFFSET(indDiscZX,1,0,indN,1))/$H$51)</f>
        <v>0</v>
      </c>
      <c r="L51" s="150">
        <f t="array" aca="1" ref="L51" ca="1">IF(ISERROR(SUM(OFFSET(indBudDiscZX,1,0,indN,1)*OFFSET(indDiscVZX,1,0,indN,1))/$H$51),0,SUM(OFFSET(indBudDiscZX,1,0,indN,1)*OFFSET(indDiscVZX,1,0,indN,1))/$H$51)</f>
        <v>0</v>
      </c>
      <c r="M51" s="144"/>
      <c r="N51" s="53"/>
      <c r="O51" s="150">
        <f t="array" aca="1" ref="O51" ca="1">IF(ISERROR(SUM(OFFSET(indBudDiscZX,1,0,indN,1)*OFFSET(indDiscAgencyX,1,0,indN,1))/$H$51),0,SUM(OFFSET(indBudDiscZX,1,0,indN,1)*OFFSET(indDiscAgencyX,1,0,indN,1))/$H$51)</f>
        <v>0</v>
      </c>
      <c r="P51" s="150"/>
      <c r="Q51" s="144"/>
      <c r="R51" s="150"/>
      <c r="S51" s="150">
        <f t="array" aca="1" ref="S51" ca="1">IF(ISERROR(SUM(OFFSET(indBudDiscZX,1,0,indN,1)*OFFSET(indDiscConsZX,1,0,indN,1))/$H$51),0,SUM(OFFSET(indBudDiscZX,1,0,indN,1)*OFFSET(indDiscConsZX,1,0,indN,1))/$H$51)</f>
        <v>0</v>
      </c>
      <c r="T51" s="150">
        <f t="array" aca="1" ref="T51" ca="1">IF(ISERROR(SUM(OFFSET(indBudDiscZX,1,0,indN,1)*OFFSET(indDiscGpZX,1,0,indN,1))/$H$51),0,SUM(OFFSET(indBudDiscZX,1,0,indN,1)*OFFSET(indDiscGpZX,1,0,indN,1))/$H$51)</f>
        <v>0</v>
      </c>
      <c r="U51" s="150"/>
      <c r="V51" s="150"/>
      <c r="W51" s="150"/>
    </row>
    <row r="52" spans="1:28" s="1" customFormat="1" x14ac:dyDescent="0.2">
      <c r="C52" s="26"/>
      <c r="AA52" s="48"/>
    </row>
    <row r="53" spans="1:28" s="1" customFormat="1" x14ac:dyDescent="0.2">
      <c r="C53" s="26"/>
      <c r="AA53" s="48"/>
    </row>
    <row r="54" spans="1:28" s="1" customFormat="1" x14ac:dyDescent="0.2">
      <c r="C54" s="26"/>
      <c r="AA54" s="48"/>
    </row>
    <row r="55" spans="1:28" s="1" customFormat="1" x14ac:dyDescent="0.2">
      <c r="C55" s="26"/>
      <c r="AA55" s="48"/>
    </row>
    <row r="56" spans="1:28" s="1" customFormat="1" x14ac:dyDescent="0.2">
      <c r="C56" s="26"/>
      <c r="AA56" s="48"/>
    </row>
    <row r="57" spans="1:28" s="1" customFormat="1" x14ac:dyDescent="0.2">
      <c r="C57" s="26"/>
      <c r="AA57" s="48"/>
    </row>
    <row r="58" spans="1:28" s="1" customFormat="1" x14ac:dyDescent="0.2">
      <c r="C58" s="26"/>
      <c r="AA58" s="48"/>
    </row>
    <row r="59" spans="1:28" s="1" customFormat="1" x14ac:dyDescent="0.2">
      <c r="C59" s="26"/>
      <c r="AA59" s="48"/>
    </row>
    <row r="60" spans="1:28" s="1" customFormat="1" x14ac:dyDescent="0.2">
      <c r="C60" s="26"/>
      <c r="AA60" s="48"/>
    </row>
    <row r="61" spans="1:28" s="1" customFormat="1" x14ac:dyDescent="0.2">
      <c r="C61" s="26"/>
      <c r="AB61" s="48"/>
    </row>
    <row r="62" spans="1:28" s="1" customFormat="1" x14ac:dyDescent="0.2">
      <c r="C62" s="26"/>
      <c r="AB62" s="48"/>
    </row>
    <row r="63" spans="1:28" s="1" customFormat="1" x14ac:dyDescent="0.2">
      <c r="C63" s="26"/>
      <c r="AB63" s="48"/>
    </row>
    <row r="64" spans="1:28" s="1" customFormat="1" x14ac:dyDescent="0.2">
      <c r="C64" s="26"/>
      <c r="AB64" s="48"/>
    </row>
    <row r="65" spans="3:28" s="1" customFormat="1" x14ac:dyDescent="0.2">
      <c r="C65" s="26"/>
      <c r="AB65" s="48"/>
    </row>
    <row r="66" spans="3:28" s="1" customFormat="1" x14ac:dyDescent="0.2">
      <c r="C66" s="26"/>
      <c r="AB66" s="48"/>
    </row>
    <row r="67" spans="3:28" s="1" customFormat="1" x14ac:dyDescent="0.2">
      <c r="C67" s="26"/>
      <c r="AB67" s="48"/>
    </row>
    <row r="68" spans="3:28" s="28" customFormat="1" x14ac:dyDescent="0.2">
      <c r="C68" s="26"/>
      <c r="AB68" s="50"/>
    </row>
  </sheetData>
  <phoneticPr fontId="2" type="noConversion"/>
  <conditionalFormatting sqref="B27 B33 B43:B44 B30:B31 B35:B37 B49:W49 B47:B48 B20:W20 C29:W41 C43:W48 B22:W25">
    <cfRule type="expression" dxfId="84" priority="12">
      <formula>$V20&lt;&gt;$W20</formula>
    </cfRule>
  </conditionalFormatting>
  <conditionalFormatting sqref="B26:W26 B28:B29 B32 B34 B38:B41 B45:B46">
    <cfRule type="expression" dxfId="83" priority="10">
      <formula>$V26&lt;&gt;$W26</formula>
    </cfRule>
  </conditionalFormatting>
  <conditionalFormatting sqref="C27:W27">
    <cfRule type="expression" dxfId="82" priority="9">
      <formula>$V27&lt;&gt;$W27</formula>
    </cfRule>
  </conditionalFormatting>
  <conditionalFormatting sqref="C28:W28">
    <cfRule type="expression" dxfId="81" priority="7">
      <formula>$V28&lt;&gt;$W28</formula>
    </cfRule>
  </conditionalFormatting>
  <conditionalFormatting sqref="C42:W42">
    <cfRule type="expression" dxfId="80" priority="3">
      <formula>$V42&lt;&gt;$W42</formula>
    </cfRule>
  </conditionalFormatting>
  <conditionalFormatting sqref="B42">
    <cfRule type="expression" dxfId="79" priority="2">
      <formula>$V42&lt;&gt;$W42</formula>
    </cfRule>
  </conditionalFormatting>
  <conditionalFormatting sqref="B21:W21 B23 B25 B27 B29 B31 B33 B35 B37 B39 B41 B43 B45 B47 B49">
    <cfRule type="expression" dxfId="78" priority="1">
      <formula>$V21&lt;&gt;$W21</formula>
    </cfRule>
  </conditionalFormatting>
  <pageMargins left="0.19685039370078741" right="0.19685039370078741" top="0.39370078740157483" bottom="0.39370078740157483" header="0.31496062992125984" footer="0.31496062992125984"/>
  <pageSetup paperSize="9" scale="53" fitToHeight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tabColor indexed="8"/>
  </sheetPr>
  <dimension ref="A2:AE97"/>
  <sheetViews>
    <sheetView showGridLines="0" zoomScale="85" zoomScaleNormal="85" workbookViewId="0">
      <pane xSplit="4" ySplit="15" topLeftCell="E16" activePane="bottomRight" state="frozen"/>
      <selection activeCell="H8" sqref="H8"/>
      <selection pane="topRight" activeCell="H8" sqref="H8"/>
      <selection pane="bottomLeft" activeCell="H8" sqref="H8"/>
      <selection pane="bottomRight"/>
    </sheetView>
  </sheetViews>
  <sheetFormatPr defaultRowHeight="12.75" x14ac:dyDescent="0.2"/>
  <cols>
    <col min="1" max="1" width="3.42578125" customWidth="1"/>
    <col min="2" max="2" width="12" style="129" customWidth="1"/>
    <col min="3" max="3" width="12" style="145" customWidth="1"/>
    <col min="4" max="4" width="12" customWidth="1"/>
    <col min="5" max="5" width="12" style="129" customWidth="1"/>
    <col min="6" max="7" width="12" style="181" customWidth="1"/>
    <col min="8" max="13" width="12" style="129" customWidth="1"/>
    <col min="14" max="14" width="12" style="181" customWidth="1"/>
    <col min="15" max="17" width="12" style="129" customWidth="1"/>
    <col min="18" max="18" width="12" style="181" customWidth="1"/>
    <col min="19" max="21" width="12" style="129" customWidth="1"/>
    <col min="22" max="24" width="12" style="181" customWidth="1"/>
    <col min="25" max="30" width="12" style="129" customWidth="1"/>
    <col min="31" max="31" width="12" style="181" customWidth="1"/>
  </cols>
  <sheetData>
    <row r="2" spans="1:31" ht="20.25" x14ac:dyDescent="0.3">
      <c r="A2" s="146"/>
      <c r="B2" s="147" t="s">
        <v>290</v>
      </c>
      <c r="C2" s="202" t="s">
        <v>124</v>
      </c>
      <c r="D2" s="147" t="s">
        <v>268</v>
      </c>
      <c r="E2" s="161" t="s">
        <v>127</v>
      </c>
      <c r="F2" s="161" t="s">
        <v>929</v>
      </c>
      <c r="G2" s="161" t="s">
        <v>473</v>
      </c>
      <c r="H2" s="147" t="s">
        <v>128</v>
      </c>
      <c r="I2" s="147" t="s">
        <v>135</v>
      </c>
      <c r="J2" s="147" t="s">
        <v>73</v>
      </c>
      <c r="K2" s="147" t="s">
        <v>125</v>
      </c>
      <c r="L2" s="147" t="s">
        <v>129</v>
      </c>
      <c r="M2" s="147" t="s">
        <v>861</v>
      </c>
      <c r="N2" s="147" t="s">
        <v>708</v>
      </c>
      <c r="O2" s="147" t="s">
        <v>126</v>
      </c>
      <c r="P2" s="147" t="s">
        <v>472</v>
      </c>
      <c r="Q2" s="147" t="s">
        <v>61</v>
      </c>
      <c r="R2" s="147" t="s">
        <v>571</v>
      </c>
      <c r="S2" s="147" t="s">
        <v>133</v>
      </c>
      <c r="T2" s="147" t="s">
        <v>47</v>
      </c>
      <c r="U2" s="147" t="s">
        <v>71</v>
      </c>
      <c r="V2" s="147" t="s">
        <v>429</v>
      </c>
      <c r="W2" s="147" t="s">
        <v>618</v>
      </c>
      <c r="X2" s="147" t="s">
        <v>426</v>
      </c>
      <c r="Y2" s="147" t="s">
        <v>149</v>
      </c>
      <c r="Z2" s="147" t="s">
        <v>15</v>
      </c>
      <c r="AA2" s="147" t="s">
        <v>132</v>
      </c>
      <c r="AB2" s="147" t="s">
        <v>266</v>
      </c>
      <c r="AC2" s="147" t="s">
        <v>161</v>
      </c>
      <c r="AD2" s="147" t="s">
        <v>646</v>
      </c>
      <c r="AE2" s="188" t="s">
        <v>289</v>
      </c>
    </row>
    <row r="3" spans="1:31" s="173" customFormat="1" ht="11.25" x14ac:dyDescent="0.2">
      <c r="B3" s="189"/>
      <c r="C3" s="203"/>
      <c r="D3" s="189"/>
      <c r="E3" s="174">
        <f t="shared" ref="E3:AC3" si="0">E4/4</f>
        <v>2500000</v>
      </c>
      <c r="F3" s="174">
        <v>0</v>
      </c>
      <c r="G3" s="174">
        <f t="shared" si="0"/>
        <v>7500000</v>
      </c>
      <c r="H3" s="175">
        <f t="shared" si="0"/>
        <v>2000000</v>
      </c>
      <c r="I3" s="175">
        <f t="shared" si="0"/>
        <v>2000000</v>
      </c>
      <c r="J3" s="175">
        <f t="shared" si="0"/>
        <v>1250000</v>
      </c>
      <c r="K3" s="175">
        <f t="shared" ref="K3:T3" si="1">K4/4</f>
        <v>2000000</v>
      </c>
      <c r="L3" s="175">
        <f t="shared" si="1"/>
        <v>3000000</v>
      </c>
      <c r="M3" s="175">
        <f t="shared" si="1"/>
        <v>1500000</v>
      </c>
      <c r="N3" s="175">
        <f t="shared" si="1"/>
        <v>1125000</v>
      </c>
      <c r="O3" s="175">
        <f t="shared" si="1"/>
        <v>2000000</v>
      </c>
      <c r="P3" s="175">
        <f t="shared" si="1"/>
        <v>7500000</v>
      </c>
      <c r="Q3" s="175">
        <f t="shared" si="1"/>
        <v>1500000</v>
      </c>
      <c r="R3" s="175">
        <f t="shared" si="1"/>
        <v>1250000</v>
      </c>
      <c r="S3" s="175">
        <f t="shared" si="1"/>
        <v>875000</v>
      </c>
      <c r="T3" s="175">
        <f t="shared" si="1"/>
        <v>875000</v>
      </c>
      <c r="U3" s="175">
        <f t="shared" si="0"/>
        <v>625000</v>
      </c>
      <c r="V3" s="175">
        <f t="shared" si="0"/>
        <v>875000</v>
      </c>
      <c r="W3" s="175">
        <f t="shared" si="0"/>
        <v>2250000</v>
      </c>
      <c r="X3" s="175">
        <f t="shared" si="0"/>
        <v>875000</v>
      </c>
      <c r="Y3" s="175">
        <f>Y4/4</f>
        <v>2000000</v>
      </c>
      <c r="Z3" s="175">
        <f>Z4/4</f>
        <v>2000000</v>
      </c>
      <c r="AA3" s="175">
        <f>AA4/4</f>
        <v>875000</v>
      </c>
      <c r="AB3" s="175">
        <f>AB4/4</f>
        <v>2500000</v>
      </c>
      <c r="AC3" s="175">
        <f t="shared" si="0"/>
        <v>3750000</v>
      </c>
      <c r="AD3" s="175">
        <f>AD4/4</f>
        <v>750000</v>
      </c>
      <c r="AE3" s="200">
        <v>788.34499999999309</v>
      </c>
    </row>
    <row r="4" spans="1:31" s="173" customFormat="1" ht="11.25" x14ac:dyDescent="0.2">
      <c r="B4" s="190"/>
      <c r="C4" s="192">
        <f t="array" aca="1" ref="C4" ca="1">MIN(INDEX(C$16:C$97,MATCH(C$12,listDiscYa/(1-CEILING(1-(1-C$16:C$97)*(1-discReachZ),valDiscPrec)),1),C$8))</f>
        <v>0</v>
      </c>
      <c r="D4" s="190"/>
      <c r="E4" s="176">
        <v>10000000</v>
      </c>
      <c r="F4" s="176">
        <v>0</v>
      </c>
      <c r="G4" s="176">
        <v>30000000</v>
      </c>
      <c r="H4" s="177">
        <v>8000000</v>
      </c>
      <c r="I4" s="177">
        <v>8000000</v>
      </c>
      <c r="J4" s="177">
        <v>5000000</v>
      </c>
      <c r="K4" s="177">
        <v>8000000</v>
      </c>
      <c r="L4" s="177">
        <v>12000000</v>
      </c>
      <c r="M4" s="177">
        <v>6000000</v>
      </c>
      <c r="N4" s="177">
        <v>4500000</v>
      </c>
      <c r="O4" s="177">
        <v>8000000</v>
      </c>
      <c r="P4" s="177">
        <v>30000000</v>
      </c>
      <c r="Q4" s="177">
        <v>6000000</v>
      </c>
      <c r="R4" s="177">
        <v>5000000</v>
      </c>
      <c r="S4" s="177">
        <v>3500000</v>
      </c>
      <c r="T4" s="177">
        <v>3500000</v>
      </c>
      <c r="U4" s="177">
        <v>2500000</v>
      </c>
      <c r="V4" s="177">
        <v>3500000</v>
      </c>
      <c r="W4" s="177">
        <v>9000000</v>
      </c>
      <c r="X4" s="177">
        <v>3500000</v>
      </c>
      <c r="Y4" s="177">
        <v>8000000</v>
      </c>
      <c r="Z4" s="177">
        <v>8000000</v>
      </c>
      <c r="AA4" s="177">
        <v>3500000</v>
      </c>
      <c r="AB4" s="177">
        <v>10000000</v>
      </c>
      <c r="AC4" s="177">
        <v>15000000</v>
      </c>
      <c r="AD4" s="177">
        <v>3000000</v>
      </c>
      <c r="AE4" s="201">
        <v>1547</v>
      </c>
    </row>
    <row r="5" spans="1:31" s="13" customFormat="1" ht="11.25" x14ac:dyDescent="0.2">
      <c r="B5" s="189"/>
      <c r="C5" s="204"/>
      <c r="D5" s="189"/>
      <c r="E5" s="163">
        <f t="shared" ref="E5:AC5" si="2">MATCH(E$3,listDisc,1)-1</f>
        <v>26</v>
      </c>
      <c r="F5" s="163">
        <f t="shared" si="2"/>
        <v>0</v>
      </c>
      <c r="G5" s="163">
        <f t="shared" si="2"/>
        <v>32</v>
      </c>
      <c r="H5" s="162">
        <f t="shared" si="2"/>
        <v>24</v>
      </c>
      <c r="I5" s="162">
        <f t="shared" si="2"/>
        <v>24</v>
      </c>
      <c r="J5" s="162">
        <f t="shared" si="2"/>
        <v>20</v>
      </c>
      <c r="K5" s="162">
        <f t="shared" ref="K5:T5" si="3">MATCH(K$3,listDisc,1)-1</f>
        <v>24</v>
      </c>
      <c r="L5" s="162">
        <f t="shared" si="3"/>
        <v>27</v>
      </c>
      <c r="M5" s="162">
        <f t="shared" si="3"/>
        <v>21</v>
      </c>
      <c r="N5" s="162">
        <f t="shared" si="3"/>
        <v>19</v>
      </c>
      <c r="O5" s="162">
        <f t="shared" si="3"/>
        <v>24</v>
      </c>
      <c r="P5" s="162">
        <f t="shared" si="3"/>
        <v>32</v>
      </c>
      <c r="Q5" s="162">
        <f t="shared" si="3"/>
        <v>21</v>
      </c>
      <c r="R5" s="162">
        <f t="shared" si="3"/>
        <v>20</v>
      </c>
      <c r="S5" s="162">
        <f t="shared" si="3"/>
        <v>17</v>
      </c>
      <c r="T5" s="162">
        <f t="shared" si="3"/>
        <v>17</v>
      </c>
      <c r="U5" s="162">
        <f t="shared" si="2"/>
        <v>15</v>
      </c>
      <c r="V5" s="162">
        <f t="shared" si="2"/>
        <v>17</v>
      </c>
      <c r="W5" s="162">
        <f t="shared" si="2"/>
        <v>25</v>
      </c>
      <c r="X5" s="162">
        <f t="shared" si="2"/>
        <v>17</v>
      </c>
      <c r="Y5" s="162">
        <f>MATCH(Y$3,listDisc,1)-1</f>
        <v>24</v>
      </c>
      <c r="Z5" s="162">
        <f>MATCH(Z$3,listDisc,1)-1</f>
        <v>24</v>
      </c>
      <c r="AA5" s="162">
        <f>MATCH(AA$3,listDisc,1)-1</f>
        <v>17</v>
      </c>
      <c r="AB5" s="162">
        <f>MATCH(AB$3,listDisc,1)-1</f>
        <v>26</v>
      </c>
      <c r="AC5" s="162">
        <f t="shared" si="2"/>
        <v>28</v>
      </c>
      <c r="AD5" s="162">
        <f>MATCH(AD$3,listDisc,1)-1</f>
        <v>16</v>
      </c>
      <c r="AE5" s="198">
        <f>SUM($E$16:$AD$90,$C$16:$C$97)</f>
        <v>702.64249999999663</v>
      </c>
    </row>
    <row r="6" spans="1:31" s="13" customFormat="1" ht="11.25" x14ac:dyDescent="0.2">
      <c r="B6" s="191"/>
      <c r="C6" s="205"/>
      <c r="D6" s="191"/>
      <c r="E6" s="172">
        <f t="shared" ref="E6:AC6" si="4">MATCH(E$4,listDisc,1)-1</f>
        <v>35</v>
      </c>
      <c r="F6" s="172">
        <f t="shared" si="4"/>
        <v>0</v>
      </c>
      <c r="G6" s="172">
        <f t="shared" si="4"/>
        <v>43</v>
      </c>
      <c r="H6" s="171">
        <f t="shared" si="4"/>
        <v>33</v>
      </c>
      <c r="I6" s="171">
        <f t="shared" si="4"/>
        <v>33</v>
      </c>
      <c r="J6" s="171">
        <f t="shared" si="4"/>
        <v>30</v>
      </c>
      <c r="K6" s="171">
        <f t="shared" ref="K6:T6" si="5">MATCH(K$4,listDisc,1)-1</f>
        <v>33</v>
      </c>
      <c r="L6" s="171">
        <f t="shared" si="5"/>
        <v>36</v>
      </c>
      <c r="M6" s="171">
        <f t="shared" si="5"/>
        <v>31</v>
      </c>
      <c r="N6" s="171">
        <f t="shared" si="5"/>
        <v>29</v>
      </c>
      <c r="O6" s="171">
        <f t="shared" si="5"/>
        <v>33</v>
      </c>
      <c r="P6" s="171">
        <f t="shared" si="5"/>
        <v>43</v>
      </c>
      <c r="Q6" s="171">
        <f t="shared" si="5"/>
        <v>31</v>
      </c>
      <c r="R6" s="171">
        <f t="shared" si="5"/>
        <v>30</v>
      </c>
      <c r="S6" s="171">
        <f t="shared" si="5"/>
        <v>28</v>
      </c>
      <c r="T6" s="171">
        <f t="shared" si="5"/>
        <v>28</v>
      </c>
      <c r="U6" s="171">
        <f t="shared" si="4"/>
        <v>26</v>
      </c>
      <c r="V6" s="171">
        <f t="shared" si="4"/>
        <v>28</v>
      </c>
      <c r="W6" s="171">
        <f t="shared" si="4"/>
        <v>34</v>
      </c>
      <c r="X6" s="171">
        <f t="shared" si="4"/>
        <v>28</v>
      </c>
      <c r="Y6" s="171">
        <f>MATCH(Y$4,listDisc,1)-1</f>
        <v>33</v>
      </c>
      <c r="Z6" s="171">
        <f>MATCH(Z$4,listDisc,1)-1</f>
        <v>33</v>
      </c>
      <c r="AA6" s="171">
        <f>MATCH(AA$4,listDisc,1)-1</f>
        <v>28</v>
      </c>
      <c r="AB6" s="171">
        <f>MATCH(AB$4,listDisc,1)-1</f>
        <v>35</v>
      </c>
      <c r="AC6" s="171">
        <f t="shared" si="4"/>
        <v>37</v>
      </c>
      <c r="AD6" s="171">
        <f>MATCH(AD$4,listDisc,1)-1</f>
        <v>27</v>
      </c>
      <c r="AE6" s="199">
        <f>SUM($E$5:$AD$6)</f>
        <v>1362</v>
      </c>
    </row>
    <row r="7" spans="1:31" s="155" customFormat="1" ht="11.25" x14ac:dyDescent="0.2">
      <c r="B7" s="196"/>
      <c r="C7" s="206"/>
      <c r="D7" s="196"/>
      <c r="E7" s="167">
        <f t="shared" ref="E7:AD7" si="6">IF(E$8=50%,31.25%,IF(E$8=40%,17.5%,14%))</f>
        <v>0.17499999999999999</v>
      </c>
      <c r="F7" s="167">
        <f t="shared" si="6"/>
        <v>0.14000000000000001</v>
      </c>
      <c r="G7" s="167">
        <f t="shared" si="6"/>
        <v>0.3125</v>
      </c>
      <c r="H7" s="168">
        <f t="shared" si="6"/>
        <v>0.3125</v>
      </c>
      <c r="I7" s="168">
        <f t="shared" si="6"/>
        <v>0.3125</v>
      </c>
      <c r="J7" s="168">
        <f t="shared" si="6"/>
        <v>0.3125</v>
      </c>
      <c r="K7" s="168">
        <f t="shared" si="6"/>
        <v>0.17499999999999999</v>
      </c>
      <c r="L7" s="168">
        <f t="shared" si="6"/>
        <v>0.17499999999999999</v>
      </c>
      <c r="M7" s="168">
        <f t="shared" si="6"/>
        <v>0.3125</v>
      </c>
      <c r="N7" s="168">
        <f t="shared" si="6"/>
        <v>0.3125</v>
      </c>
      <c r="O7" s="168">
        <f t="shared" si="6"/>
        <v>0.3125</v>
      </c>
      <c r="P7" s="168">
        <f t="shared" si="6"/>
        <v>0.17499999999999999</v>
      </c>
      <c r="Q7" s="168">
        <f t="shared" si="6"/>
        <v>0.3125</v>
      </c>
      <c r="R7" s="168">
        <f t="shared" si="6"/>
        <v>0.3125</v>
      </c>
      <c r="S7" s="168">
        <f t="shared" si="6"/>
        <v>0.3125</v>
      </c>
      <c r="T7" s="168">
        <f t="shared" si="6"/>
        <v>0.3125</v>
      </c>
      <c r="U7" s="168">
        <f t="shared" si="6"/>
        <v>0.3125</v>
      </c>
      <c r="V7" s="168">
        <f t="shared" si="6"/>
        <v>0.3125</v>
      </c>
      <c r="W7" s="168">
        <f t="shared" si="6"/>
        <v>0.3125</v>
      </c>
      <c r="X7" s="168">
        <f t="shared" si="6"/>
        <v>0.3125</v>
      </c>
      <c r="Y7" s="168">
        <f t="shared" si="6"/>
        <v>0.3125</v>
      </c>
      <c r="Z7" s="168">
        <f t="shared" si="6"/>
        <v>0.3125</v>
      </c>
      <c r="AA7" s="168">
        <f t="shared" si="6"/>
        <v>0.3125</v>
      </c>
      <c r="AB7" s="168">
        <f t="shared" si="6"/>
        <v>0.3125</v>
      </c>
      <c r="AC7" s="168">
        <f t="shared" si="6"/>
        <v>0.14000000000000001</v>
      </c>
      <c r="AD7" s="168">
        <f t="shared" si="6"/>
        <v>0.3125</v>
      </c>
      <c r="AE7" s="199"/>
    </row>
    <row r="8" spans="1:31" s="155" customFormat="1" ht="11.25" x14ac:dyDescent="0.2">
      <c r="B8" s="197"/>
      <c r="C8" s="207">
        <f>INDEX(indDiscMaxX,MATCH(C$2,indPrefixX,0))</f>
        <v>0.3</v>
      </c>
      <c r="D8" s="197"/>
      <c r="E8" s="159">
        <f t="shared" ref="E8:AC8" si="7">INDEX(indDiscMaxX,MATCH(E$2,indPrefixX,0))</f>
        <v>0.4</v>
      </c>
      <c r="F8" s="159">
        <f t="shared" si="7"/>
        <v>0</v>
      </c>
      <c r="G8" s="159">
        <f t="shared" si="7"/>
        <v>0.5</v>
      </c>
      <c r="H8" s="156">
        <f t="shared" si="7"/>
        <v>0.5</v>
      </c>
      <c r="I8" s="156">
        <f t="shared" si="7"/>
        <v>0.5</v>
      </c>
      <c r="J8" s="156">
        <f t="shared" si="7"/>
        <v>0.5</v>
      </c>
      <c r="K8" s="156">
        <f t="shared" ref="K8:T8" si="8">INDEX(indDiscMaxX,MATCH(K$2,indPrefixX,0))</f>
        <v>0.4</v>
      </c>
      <c r="L8" s="156">
        <f t="shared" si="8"/>
        <v>0.4</v>
      </c>
      <c r="M8" s="156">
        <f t="shared" si="8"/>
        <v>0.5</v>
      </c>
      <c r="N8" s="156">
        <f t="shared" si="8"/>
        <v>0.5</v>
      </c>
      <c r="O8" s="156">
        <f t="shared" si="8"/>
        <v>0.5</v>
      </c>
      <c r="P8" s="156">
        <f t="shared" si="8"/>
        <v>0.4</v>
      </c>
      <c r="Q8" s="156">
        <f t="shared" si="8"/>
        <v>0.5</v>
      </c>
      <c r="R8" s="156">
        <f t="shared" si="8"/>
        <v>0.5</v>
      </c>
      <c r="S8" s="156">
        <f t="shared" si="8"/>
        <v>0.5</v>
      </c>
      <c r="T8" s="156">
        <f t="shared" si="8"/>
        <v>0.5</v>
      </c>
      <c r="U8" s="156">
        <f t="shared" si="7"/>
        <v>0.5</v>
      </c>
      <c r="V8" s="156">
        <f t="shared" si="7"/>
        <v>0.5</v>
      </c>
      <c r="W8" s="156">
        <f t="shared" si="7"/>
        <v>0.5</v>
      </c>
      <c r="X8" s="156">
        <f t="shared" si="7"/>
        <v>0.5</v>
      </c>
      <c r="Y8" s="156">
        <f>INDEX(indDiscMaxX,MATCH(Y$2,indPrefixX,0))</f>
        <v>0.5</v>
      </c>
      <c r="Z8" s="156">
        <f>INDEX(indDiscMaxX,MATCH(Z$2,indPrefixX,0))</f>
        <v>0.5</v>
      </c>
      <c r="AA8" s="156">
        <f>INDEX(indDiscMaxX,MATCH(AA$2,indPrefixX,0))</f>
        <v>0.5</v>
      </c>
      <c r="AB8" s="156">
        <f>INDEX(indDiscMaxX,MATCH(AB$2,indPrefixX,0))</f>
        <v>0.5</v>
      </c>
      <c r="AC8" s="156">
        <f t="shared" si="7"/>
        <v>0.375</v>
      </c>
      <c r="AD8" s="156">
        <f>INDEX(indDiscMaxX,MATCH(AD$2,indPrefixX,0))</f>
        <v>0.5</v>
      </c>
      <c r="AE8" s="199"/>
    </row>
    <row r="9" spans="1:31" s="157" customFormat="1" ht="11.25" x14ac:dyDescent="0.2">
      <c r="B9" s="189"/>
      <c r="C9" s="208">
        <f>INDEX(indBudX,MATCH(C$2,indDiscGroupX,0))</f>
        <v>0</v>
      </c>
      <c r="D9" s="189"/>
      <c r="E9" s="162">
        <f t="shared" ref="E9:AD9" si="9">SUMIF(indDiscGroupX,E$2,indBudX)</f>
        <v>0</v>
      </c>
      <c r="F9" s="162">
        <f t="shared" si="9"/>
        <v>0</v>
      </c>
      <c r="G9" s="162">
        <f t="shared" si="9"/>
        <v>0</v>
      </c>
      <c r="H9" s="162">
        <f t="shared" si="9"/>
        <v>0</v>
      </c>
      <c r="I9" s="162">
        <f t="shared" si="9"/>
        <v>0</v>
      </c>
      <c r="J9" s="162">
        <f t="shared" si="9"/>
        <v>0</v>
      </c>
      <c r="K9" s="162">
        <f t="shared" si="9"/>
        <v>0</v>
      </c>
      <c r="L9" s="162">
        <f t="shared" si="9"/>
        <v>0</v>
      </c>
      <c r="M9" s="162">
        <f t="shared" si="9"/>
        <v>0</v>
      </c>
      <c r="N9" s="162">
        <f t="shared" si="9"/>
        <v>0</v>
      </c>
      <c r="O9" s="162">
        <f t="shared" si="9"/>
        <v>0</v>
      </c>
      <c r="P9" s="162">
        <f t="shared" si="9"/>
        <v>0</v>
      </c>
      <c r="Q9" s="162">
        <f t="shared" si="9"/>
        <v>0</v>
      </c>
      <c r="R9" s="162">
        <f t="shared" si="9"/>
        <v>0</v>
      </c>
      <c r="S9" s="162">
        <f t="shared" si="9"/>
        <v>0</v>
      </c>
      <c r="T9" s="162">
        <f t="shared" si="9"/>
        <v>0</v>
      </c>
      <c r="U9" s="162">
        <f t="shared" si="9"/>
        <v>0</v>
      </c>
      <c r="V9" s="162">
        <f t="shared" si="9"/>
        <v>0</v>
      </c>
      <c r="W9" s="162">
        <f t="shared" si="9"/>
        <v>0</v>
      </c>
      <c r="X9" s="162">
        <f t="shared" si="9"/>
        <v>0</v>
      </c>
      <c r="Y9" s="162">
        <f t="shared" si="9"/>
        <v>0</v>
      </c>
      <c r="Z9" s="162">
        <f t="shared" si="9"/>
        <v>0</v>
      </c>
      <c r="AA9" s="162">
        <f t="shared" si="9"/>
        <v>0</v>
      </c>
      <c r="AB9" s="162">
        <f t="shared" si="9"/>
        <v>0</v>
      </c>
      <c r="AC9" s="162">
        <f t="shared" si="9"/>
        <v>0</v>
      </c>
      <c r="AD9" s="162">
        <f t="shared" si="9"/>
        <v>0</v>
      </c>
      <c r="AE9" s="199"/>
    </row>
    <row r="10" spans="1:31" s="155" customFormat="1" ht="11.25" x14ac:dyDescent="0.2">
      <c r="B10" s="192"/>
      <c r="C10" s="209">
        <f>INDEX(indDiscDopX,MATCH(C$2,indPrefixX,0))</f>
        <v>0</v>
      </c>
      <c r="D10" s="192"/>
      <c r="E10" s="165">
        <f t="shared" ref="E10:AC10" si="10">INDEX(indDiscDopX,MATCH(E$2,indPrefixX,0))</f>
        <v>0</v>
      </c>
      <c r="F10" s="165">
        <f t="shared" si="10"/>
        <v>0</v>
      </c>
      <c r="G10" s="165">
        <f t="shared" si="10"/>
        <v>0</v>
      </c>
      <c r="H10" s="166">
        <f t="shared" si="10"/>
        <v>0</v>
      </c>
      <c r="I10" s="166">
        <f t="shared" si="10"/>
        <v>0</v>
      </c>
      <c r="J10" s="166">
        <f t="shared" si="10"/>
        <v>0</v>
      </c>
      <c r="K10" s="166">
        <f t="shared" ref="K10:T10" si="11">INDEX(indDiscDopX,MATCH(K$2,indPrefixX,0))</f>
        <v>0</v>
      </c>
      <c r="L10" s="166">
        <f t="shared" si="11"/>
        <v>0</v>
      </c>
      <c r="M10" s="166">
        <f t="shared" si="11"/>
        <v>0</v>
      </c>
      <c r="N10" s="166">
        <f t="shared" si="11"/>
        <v>0</v>
      </c>
      <c r="O10" s="166">
        <f t="shared" si="11"/>
        <v>0</v>
      </c>
      <c r="P10" s="166">
        <f t="shared" si="11"/>
        <v>0</v>
      </c>
      <c r="Q10" s="166">
        <f t="shared" si="11"/>
        <v>0</v>
      </c>
      <c r="R10" s="166">
        <f t="shared" si="11"/>
        <v>0</v>
      </c>
      <c r="S10" s="166">
        <f t="shared" si="11"/>
        <v>0</v>
      </c>
      <c r="T10" s="166">
        <f t="shared" si="11"/>
        <v>0</v>
      </c>
      <c r="U10" s="166">
        <f t="shared" si="10"/>
        <v>0</v>
      </c>
      <c r="V10" s="166">
        <f t="shared" si="10"/>
        <v>0</v>
      </c>
      <c r="W10" s="166">
        <f t="shared" si="10"/>
        <v>0</v>
      </c>
      <c r="X10" s="166">
        <f t="shared" si="10"/>
        <v>0</v>
      </c>
      <c r="Y10" s="166">
        <f>INDEX(indDiscDopX,MATCH(Y$2,indPrefixX,0))</f>
        <v>0</v>
      </c>
      <c r="Z10" s="166">
        <f>INDEX(indDiscDopX,MATCH(Z$2,indPrefixX,0))</f>
        <v>0</v>
      </c>
      <c r="AA10" s="166">
        <f>INDEX(indDiscDopX,MATCH(AA$2,indPrefixX,0))</f>
        <v>0</v>
      </c>
      <c r="AB10" s="166">
        <f>INDEX(indDiscDopX,MATCH(AB$2,indPrefixX,0))</f>
        <v>0</v>
      </c>
      <c r="AC10" s="166">
        <f t="shared" si="10"/>
        <v>0</v>
      </c>
      <c r="AD10" s="166">
        <f>INDEX(indDiscDopX,MATCH(AD$2,indPrefixX,0))</f>
        <v>0</v>
      </c>
      <c r="AE10" s="199"/>
    </row>
    <row r="11" spans="1:31" s="155" customFormat="1" ht="11.25" x14ac:dyDescent="0.2">
      <c r="B11" s="196"/>
      <c r="C11" s="206">
        <f t="array" ref="C11">MIN(CEILING(1-(1-INDEX(C$16:C$97,MATCH(C$9,listDiscYa,1)))*(1-C$10),valDiscPrec),C$8)</f>
        <v>0</v>
      </c>
      <c r="D11" s="196"/>
      <c r="E11" s="167">
        <f t="array" ref="E11">MIN(CEILING(1-(1-INDEX(E$16:E$90,MATCH(E$9,listDisc,1)))*(1-E$10),valDiscPrec),E$8)</f>
        <v>0</v>
      </c>
      <c r="F11" s="167">
        <f t="array" ref="F11">MIN(CEILING(1-(1-INDEX(F$16:F$90,MATCH(F$9,listDisc,1)))*(1-F$10),valDiscPrec),F$8)</f>
        <v>0</v>
      </c>
      <c r="G11" s="167">
        <f t="array" ref="G11">MIN(CEILING(1-(1-INDEX(G$16:G$90,MATCH(G$9,listDisc,1)))*(1-G$10),valDiscPrec),G$8)</f>
        <v>0</v>
      </c>
      <c r="H11" s="168">
        <f t="array" ref="H11">MIN(CEILING(1-(1-INDEX(H$16:H$90,MATCH(H$9,listDisc,1)))*(1-H$10),valDiscPrec),H$8)</f>
        <v>0</v>
      </c>
      <c r="I11" s="168">
        <f t="array" ref="I11">MIN(CEILING(1-(1-INDEX(I$16:I$90,MATCH(I$9,listDisc,1)))*(1-I$10),valDiscPrec),I$8)</f>
        <v>0</v>
      </c>
      <c r="J11" s="168">
        <f t="array" ref="J11">MIN(CEILING(1-(1-INDEX(J$16:J$90,MATCH(J$9,listDisc,1)))*(1-J$10),valDiscPrec),J$8)</f>
        <v>0</v>
      </c>
      <c r="K11" s="168">
        <f t="array" ref="K11">MIN(CEILING(1-(1-INDEX(K$16:K$90,MATCH(K$9,listDisc,1)))*(1-K$10),valDiscPrec),K$8)</f>
        <v>0</v>
      </c>
      <c r="L11" s="168">
        <f t="array" ref="L11">MIN(CEILING(1-(1-INDEX(L$16:L$90,MATCH(L$9,listDisc,1)))*(1-L$10),valDiscPrec),L$8)</f>
        <v>0</v>
      </c>
      <c r="M11" s="168">
        <f t="array" ref="M11">MIN(CEILING(1-(1-INDEX(M$16:M$90,MATCH(M$9,listDisc,1)))*(1-M$10),valDiscPrec),M$8)</f>
        <v>0</v>
      </c>
      <c r="N11" s="168">
        <f t="array" ref="N11">MIN(CEILING(1-(1-INDEX(N$16:N$90,MATCH(N$9,listDisc,1)))*(1-N$10),valDiscPrec),N$8)</f>
        <v>0</v>
      </c>
      <c r="O11" s="168">
        <f t="array" ref="O11">MIN(CEILING(1-(1-INDEX(O$16:O$90,MATCH(O$9,listDisc,1)))*(1-O$10),valDiscPrec),O$8)</f>
        <v>0</v>
      </c>
      <c r="P11" s="168">
        <f t="array" ref="P11">MIN(CEILING(1-(1-INDEX(P$16:P$90,MATCH(P$9,listDisc,1)))*(1-P$10),valDiscPrec),P$8)</f>
        <v>0</v>
      </c>
      <c r="Q11" s="168">
        <f t="array" ref="Q11">MIN(CEILING(1-(1-INDEX(Q$16:Q$90,MATCH(Q$9,listDisc,1)))*(1-Q$10),valDiscPrec),Q$8)</f>
        <v>0</v>
      </c>
      <c r="R11" s="168">
        <f t="array" ref="R11">MIN(CEILING(1-(1-INDEX(R$16:R$90,MATCH(R$9,listDisc,1)))*(1-R$10),valDiscPrec),R$8)</f>
        <v>0</v>
      </c>
      <c r="S11" s="168">
        <f t="array" ref="S11">MIN(CEILING(1-(1-INDEX(S$16:S$90,MATCH(S$9,listDisc,1)))*(1-S$10),valDiscPrec),S$8)</f>
        <v>0</v>
      </c>
      <c r="T11" s="168">
        <f t="array" ref="T11">MIN(CEILING(1-(1-INDEX(T$16:T$90,MATCH(T$9,listDisc,1)))*(1-T$10),valDiscPrec),T$8)</f>
        <v>0</v>
      </c>
      <c r="U11" s="168">
        <f t="array" ref="U11">MIN(CEILING(1-(1-INDEX(U$16:U$90,MATCH(U$9,listDisc,1)))*(1-U$10),valDiscPrec),U$8)</f>
        <v>0</v>
      </c>
      <c r="V11" s="168">
        <f t="array" ref="V11">MIN(CEILING(1-(1-INDEX(V$16:V$90,MATCH(V$9,listDisc,1)))*(1-V$10),valDiscPrec),V$8)</f>
        <v>0</v>
      </c>
      <c r="W11" s="168">
        <f t="array" ref="W11">MIN(CEILING(1-(1-INDEX(W$16:W$90,MATCH(W$9,listDisc,1)))*(1-W$10),valDiscPrec),W$8)</f>
        <v>0</v>
      </c>
      <c r="X11" s="168">
        <f t="array" ref="X11">MIN(CEILING(1-(1-INDEX(X$16:X$90,MATCH(X$9,listDisc,1)))*(1-X$10),valDiscPrec),X$8)</f>
        <v>0</v>
      </c>
      <c r="Y11" s="168">
        <f t="array" ref="Y11">MIN(CEILING(1-(1-INDEX(Y$16:Y$90,MATCH(Y$9,listDisc,1)))*(1-Y$10),valDiscPrec),Y$8)</f>
        <v>0</v>
      </c>
      <c r="Z11" s="168">
        <f t="array" ref="Z11">MIN(CEILING(1-(1-INDEX(Z$16:Z$90,MATCH(Z$9,listDisc,1)))*(1-Z$10),valDiscPrec),Z$8)</f>
        <v>0</v>
      </c>
      <c r="AA11" s="168">
        <f t="array" ref="AA11">MIN(CEILING(1-(1-INDEX(AA$16:AA$90,MATCH(AA$9,listDisc,1)))*(1-AA$10),valDiscPrec),AA$8)</f>
        <v>0</v>
      </c>
      <c r="AB11" s="168">
        <f t="array" ref="AB11">MIN(CEILING(1-(1-INDEX(AB$16:AB$90,MATCH(AB$9,listDisc,1)))*(1-AB$10),valDiscPrec),AB$8)</f>
        <v>0</v>
      </c>
      <c r="AC11" s="168">
        <f t="array" ref="AC11">MIN(CEILING(1-(1-INDEX(AC$16:AC$90,MATCH(AC$9,listDisc,1)))*(1-AC$10),valDiscPrec),AC$8)</f>
        <v>0</v>
      </c>
      <c r="AD11" s="168">
        <f t="array" ref="AD11">MIN(CEILING(1-(1-INDEX(AD$16:AD$90,MATCH(AD$9,listDisc,1)))*(1-AD$10),valDiscPrec),AD$8)</f>
        <v>0</v>
      </c>
      <c r="AE11" s="199"/>
    </row>
    <row r="12" spans="1:31" s="157" customFormat="1" ht="11.25" x14ac:dyDescent="0.2">
      <c r="B12" s="189"/>
      <c r="C12" s="163">
        <f ca="1">SUMIF(indDiscGroupX,C$2,indBudDiscZX)+SUMIF(indDiscGroupX,C$2,indBudSpecZX)</f>
        <v>0</v>
      </c>
      <c r="D12" s="189"/>
      <c r="E12" s="163">
        <f t="shared" ref="E12:AC12" ca="1" si="12">SUMIF(indDiscGroupX,E$2,indBudDiscZX)+SUMIF(indDiscGroupX,E$2,indBudSpecZX)</f>
        <v>0</v>
      </c>
      <c r="F12" s="163">
        <f t="shared" ca="1" si="12"/>
        <v>0</v>
      </c>
      <c r="G12" s="163">
        <f t="shared" ca="1" si="12"/>
        <v>0</v>
      </c>
      <c r="H12" s="163">
        <f t="shared" ca="1" si="12"/>
        <v>0</v>
      </c>
      <c r="I12" s="163">
        <f t="shared" ca="1" si="12"/>
        <v>0</v>
      </c>
      <c r="J12" s="163">
        <f t="shared" ca="1" si="12"/>
        <v>0</v>
      </c>
      <c r="K12" s="163">
        <f t="shared" ref="K12:T12" ca="1" si="13">SUMIF(indDiscGroupX,K$2,indBudDiscZX)+SUMIF(indDiscGroupX,K$2,indBudSpecZX)</f>
        <v>0</v>
      </c>
      <c r="L12" s="163">
        <f t="shared" ca="1" si="13"/>
        <v>0</v>
      </c>
      <c r="M12" s="163">
        <f t="shared" ca="1" si="13"/>
        <v>0</v>
      </c>
      <c r="N12" s="163">
        <f t="shared" ca="1" si="13"/>
        <v>0</v>
      </c>
      <c r="O12" s="163">
        <f t="shared" ca="1" si="13"/>
        <v>0</v>
      </c>
      <c r="P12" s="163">
        <f t="shared" ca="1" si="13"/>
        <v>0</v>
      </c>
      <c r="Q12" s="163">
        <f t="shared" ca="1" si="13"/>
        <v>0</v>
      </c>
      <c r="R12" s="163">
        <f t="shared" ca="1" si="13"/>
        <v>0</v>
      </c>
      <c r="S12" s="163">
        <f t="shared" ca="1" si="13"/>
        <v>0</v>
      </c>
      <c r="T12" s="163">
        <f t="shared" ca="1" si="13"/>
        <v>0</v>
      </c>
      <c r="U12" s="163">
        <f t="shared" ca="1" si="12"/>
        <v>0</v>
      </c>
      <c r="V12" s="163">
        <f t="shared" ca="1" si="12"/>
        <v>0</v>
      </c>
      <c r="W12" s="163">
        <f t="shared" ca="1" si="12"/>
        <v>0</v>
      </c>
      <c r="X12" s="163">
        <f t="shared" ca="1" si="12"/>
        <v>0</v>
      </c>
      <c r="Y12" s="163">
        <f ca="1">SUMIF(indDiscGroupX,Y$2,indBudDiscZX)+SUMIF(indDiscGroupX,Y$2,indBudSpecZX)</f>
        <v>0</v>
      </c>
      <c r="Z12" s="163">
        <f ca="1">SUMIF(indDiscGroupX,Z$2,indBudDiscZX)+SUMIF(indDiscGroupX,Z$2,indBudSpecZX)</f>
        <v>0</v>
      </c>
      <c r="AA12" s="163">
        <f ca="1">SUMIF(indDiscGroupX,AA$2,indBudDiscZX)+SUMIF(indDiscGroupX,AA$2,indBudSpecZX)</f>
        <v>0</v>
      </c>
      <c r="AB12" s="163">
        <f ca="1">SUMIF(indDiscGroupX,AB$2,indBudDiscZX)+SUMIF(indDiscGroupX,AB$2,indBudSpecZX)</f>
        <v>0</v>
      </c>
      <c r="AC12" s="163">
        <f t="shared" ca="1" si="12"/>
        <v>0</v>
      </c>
      <c r="AD12" s="163">
        <f ca="1">SUMIF(indDiscGroupX,AD$2,indBudDiscZX)+SUMIF(indDiscGroupX,AD$2,indBudSpecZX)</f>
        <v>0</v>
      </c>
      <c r="AE12" s="198"/>
    </row>
    <row r="13" spans="1:31" s="155" customFormat="1" ht="11.25" x14ac:dyDescent="0.2">
      <c r="B13" s="192"/>
      <c r="C13" s="210">
        <f ca="1">INDEX(indDiscDopZX,MATCH(C$2,indPrefixX,0))</f>
        <v>0</v>
      </c>
      <c r="D13" s="192"/>
      <c r="E13" s="169">
        <f t="shared" ref="E13:AC13" si="14">INDEX(indDiscDopZX,MATCH(E$2,indPrefixX,0))</f>
        <v>0</v>
      </c>
      <c r="F13" s="169">
        <f t="shared" si="14"/>
        <v>0</v>
      </c>
      <c r="G13" s="169">
        <f t="shared" si="14"/>
        <v>0</v>
      </c>
      <c r="H13" s="169">
        <f t="shared" si="14"/>
        <v>0</v>
      </c>
      <c r="I13" s="164">
        <f t="shared" si="14"/>
        <v>0</v>
      </c>
      <c r="J13" s="164">
        <f t="shared" si="14"/>
        <v>0</v>
      </c>
      <c r="K13" s="164">
        <f t="shared" ref="K13:T13" si="15">INDEX(indDiscDopZX,MATCH(K$2,indPrefixX,0))</f>
        <v>0</v>
      </c>
      <c r="L13" s="164">
        <f t="shared" si="15"/>
        <v>0</v>
      </c>
      <c r="M13" s="164">
        <f t="shared" si="15"/>
        <v>0</v>
      </c>
      <c r="N13" s="164">
        <f t="shared" si="15"/>
        <v>0</v>
      </c>
      <c r="O13" s="164">
        <f t="shared" si="15"/>
        <v>0</v>
      </c>
      <c r="P13" s="164">
        <f t="shared" si="15"/>
        <v>0</v>
      </c>
      <c r="Q13" s="164">
        <f t="shared" si="15"/>
        <v>0</v>
      </c>
      <c r="R13" s="164">
        <f t="shared" si="15"/>
        <v>0</v>
      </c>
      <c r="S13" s="164">
        <f t="shared" si="15"/>
        <v>0</v>
      </c>
      <c r="T13" s="164">
        <f t="shared" si="15"/>
        <v>0</v>
      </c>
      <c r="U13" s="164">
        <f t="shared" si="14"/>
        <v>0</v>
      </c>
      <c r="V13" s="164">
        <f t="shared" si="14"/>
        <v>0</v>
      </c>
      <c r="W13" s="164">
        <f t="shared" si="14"/>
        <v>0</v>
      </c>
      <c r="X13" s="164">
        <f t="shared" si="14"/>
        <v>0</v>
      </c>
      <c r="Y13" s="164">
        <f>INDEX(indDiscDopZX,MATCH(Y$2,indPrefixX,0))</f>
        <v>0</v>
      </c>
      <c r="Z13" s="164">
        <f>INDEX(indDiscDopZX,MATCH(Z$2,indPrefixX,0))</f>
        <v>0</v>
      </c>
      <c r="AA13" s="164">
        <f>INDEX(indDiscDopZX,MATCH(AA$2,indPrefixX,0))</f>
        <v>0</v>
      </c>
      <c r="AB13" s="164">
        <f>INDEX(indDiscDopZX,MATCH(AB$2,indPrefixX,0))</f>
        <v>0</v>
      </c>
      <c r="AC13" s="164">
        <f t="shared" si="14"/>
        <v>0</v>
      </c>
      <c r="AD13" s="164">
        <f>INDEX(indDiscDopZX,MATCH(AD$2,indPrefixX,0))</f>
        <v>0</v>
      </c>
      <c r="AE13" s="198"/>
    </row>
    <row r="14" spans="1:31" s="155" customFormat="1" ht="11.25" x14ac:dyDescent="0.2">
      <c r="B14" s="192"/>
      <c r="C14" s="210">
        <f t="array" aca="1" ref="C14" ca="1">MIN(INDEX(CEILING(1-(1-C$16:C$97)*(1-C$13),valDiscPrec),MATCH(C$12,listDiscYa/(1-CEILING(1-(1-C$16:C$97)*(1-C$13),valDiscPrec)),1)),C$8)</f>
        <v>0</v>
      </c>
      <c r="D14" s="192"/>
      <c r="E14" s="169">
        <f t="array" aca="1" ref="E14" ca="1">MIN(INDEX(CEILING(1-(1-E$16:E$90)*(1-E$13),valDiscPrec),MATCH(E$12,listDisc/(1-CEILING(1-(1-E$16:E$90)*(1-E$13),valDiscPrec)),1)),E$8)</f>
        <v>0</v>
      </c>
      <c r="F14" s="169">
        <f t="array" aca="1" ref="F14" ca="1">MIN(INDEX(CEILING(1-(1-F$16:F$90)*(1-F$13),valDiscPrec),MATCH(F$12,listDisc/(1-CEILING(1-(1-F$16:F$90)*(1-F$13),valDiscPrec)),1)),F$8)</f>
        <v>0</v>
      </c>
      <c r="G14" s="169">
        <f t="array" aca="1" ref="G14" ca="1">MIN(INDEX(CEILING(1-(1-G$16:G$90)*(1-G$13),valDiscPrec),MATCH(G$12,listDisc/(1-CEILING(1-(1-G$16:G$90)*(1-G$13),valDiscPrec)),1)),G$8)</f>
        <v>0</v>
      </c>
      <c r="H14" s="169">
        <f t="array" aca="1" ref="H14" ca="1">MIN(INDEX(CEILING(1-(1-H$16:H$90)*(1-H$13),valDiscPrec),MATCH(H$12,listDisc/(1-CEILING(1-(1-H$16:H$90)*(1-H$13),valDiscPrec)),1)),H$8)</f>
        <v>0</v>
      </c>
      <c r="I14" s="164">
        <f t="array" aca="1" ref="I14" ca="1">MIN(INDEX(CEILING(1-(1-I$16:I$90)*(1-I$13),valDiscPrec),MATCH(I$12,listDisc/(1-CEILING(1-(1-I$16:I$90)*(1-I$13),valDiscPrec)),1)),I$8)</f>
        <v>0</v>
      </c>
      <c r="J14" s="164">
        <f t="array" aca="1" ref="J14" ca="1">MIN(INDEX(CEILING(1-(1-J$16:J$90)*(1-J$13),valDiscPrec),MATCH(J$12,listDisc/(1-CEILING(1-(1-J$16:J$90)*(1-J$13),valDiscPrec)),1)),J$8)</f>
        <v>0</v>
      </c>
      <c r="K14" s="164">
        <f t="array" aca="1" ref="K14" ca="1">MIN(INDEX(CEILING(1-(1-K$16:K$90)*(1-K$13),valDiscPrec),MATCH(K$12,listDisc/(1-CEILING(1-(1-K$16:K$90)*(1-K$13),valDiscPrec)),1)),K$8)</f>
        <v>0</v>
      </c>
      <c r="L14" s="164">
        <f t="array" aca="1" ref="L14" ca="1">MIN(INDEX(CEILING(1-(1-L$16:L$90)*(1-L$13),valDiscPrec),MATCH(L$12,listDisc/(1-CEILING(1-(1-L$16:L$90)*(1-L$13),valDiscPrec)),1)),L$8)</f>
        <v>0</v>
      </c>
      <c r="M14" s="164">
        <f t="array" aca="1" ref="M14" ca="1">MIN(INDEX(CEILING(1-(1-M$16:M$90)*(1-M$13),valDiscPrec),MATCH(M$12,listDisc/(1-CEILING(1-(1-M$16:M$90)*(1-M$13),valDiscPrec)),1)),M$8)</f>
        <v>0</v>
      </c>
      <c r="N14" s="164">
        <f t="array" aca="1" ref="N14" ca="1">MIN(INDEX(CEILING(1-(1-N$16:N$90)*(1-N$13),valDiscPrec),MATCH(N$12,listDisc/(1-CEILING(1-(1-N$16:N$90)*(1-N$13),valDiscPrec)),1)),N$8)</f>
        <v>0</v>
      </c>
      <c r="O14" s="164">
        <f t="array" aca="1" ref="O14" ca="1">MIN(INDEX(CEILING(1-(1-O$16:O$90)*(1-O$13),valDiscPrec),MATCH(O$12,listDisc/(1-CEILING(1-(1-O$16:O$90)*(1-O$13),valDiscPrec)),1)),O$8)</f>
        <v>0</v>
      </c>
      <c r="P14" s="164">
        <f t="array" aca="1" ref="P14" ca="1">MIN(INDEX(CEILING(1-(1-P$16:P$90)*(1-P$13),valDiscPrec),MATCH(P$12,listDisc/(1-CEILING(1-(1-P$16:P$90)*(1-P$13),valDiscPrec)),1)),P$8)</f>
        <v>0</v>
      </c>
      <c r="Q14" s="164">
        <f t="array" aca="1" ref="Q14" ca="1">MIN(INDEX(CEILING(1-(1-Q$16:Q$90)*(1-Q$13),valDiscPrec),MATCH(Q$12,listDisc/(1-CEILING(1-(1-Q$16:Q$90)*(1-Q$13),valDiscPrec)),1)),Q$8)</f>
        <v>0</v>
      </c>
      <c r="R14" s="164">
        <f t="array" aca="1" ref="R14" ca="1">MIN(INDEX(CEILING(1-(1-R$16:R$90)*(1-R$13),valDiscPrec),MATCH(R$12,listDisc/(1-CEILING(1-(1-R$16:R$90)*(1-R$13),valDiscPrec)),1)),R$8)</f>
        <v>0</v>
      </c>
      <c r="S14" s="164">
        <f t="array" aca="1" ref="S14" ca="1">MIN(INDEX(CEILING(1-(1-S$16:S$90)*(1-S$13),valDiscPrec),MATCH(S$12,listDisc/(1-CEILING(1-(1-S$16:S$90)*(1-S$13),valDiscPrec)),1)),S$8)</f>
        <v>0</v>
      </c>
      <c r="T14" s="164">
        <f t="array" aca="1" ref="T14" ca="1">MIN(INDEX(CEILING(1-(1-T$16:T$90)*(1-T$13),valDiscPrec),MATCH(T$12,listDisc/(1-CEILING(1-(1-T$16:T$90)*(1-T$13),valDiscPrec)),1)),T$8)</f>
        <v>0</v>
      </c>
      <c r="U14" s="164">
        <f t="array" aca="1" ref="U14" ca="1">MIN(INDEX(CEILING(1-(1-U$16:U$90)*(1-U$13),valDiscPrec),MATCH(U$12,listDisc/(1-CEILING(1-(1-U$16:U$90)*(1-U$13),valDiscPrec)),1)),U$8)</f>
        <v>0</v>
      </c>
      <c r="V14" s="164">
        <f t="array" aca="1" ref="V14" ca="1">MIN(INDEX(CEILING(1-(1-V$16:V$90)*(1-V$13),valDiscPrec),MATCH(V$12,listDisc/(1-CEILING(1-(1-V$16:V$90)*(1-V$13),valDiscPrec)),1)),V$8)</f>
        <v>0</v>
      </c>
      <c r="W14" s="164">
        <f t="array" aca="1" ref="W14" ca="1">MIN(INDEX(CEILING(1-(1-W$16:W$90)*(1-W$13),valDiscPrec),MATCH(W$12,listDisc/(1-CEILING(1-(1-W$16:W$90)*(1-W$13),valDiscPrec)),1)),W$8)</f>
        <v>0</v>
      </c>
      <c r="X14" s="164">
        <f t="array" aca="1" ref="X14" ca="1">MIN(INDEX(CEILING(1-(1-X$16:X$90)*(1-X$13),valDiscPrec),MATCH(X$12,listDisc/(1-CEILING(1-(1-X$16:X$90)*(1-X$13),valDiscPrec)),1)),X$8)</f>
        <v>0</v>
      </c>
      <c r="Y14" s="164">
        <f t="array" aca="1" ref="Y14" ca="1">MIN(INDEX(CEILING(1-(1-Y$16:Y$90)*(1-Y$13),valDiscPrec),MATCH(Y$12,listDisc/(1-CEILING(1-(1-Y$16:Y$90)*(1-Y$13),valDiscPrec)),1)),Y$8)</f>
        <v>0</v>
      </c>
      <c r="Z14" s="164">
        <f t="array" aca="1" ref="Z14" ca="1">MIN(INDEX(CEILING(1-(1-Z$16:Z$90)*(1-Z$13),valDiscPrec),MATCH(Z$12,listDisc/(1-CEILING(1-(1-Z$16:Z$90)*(1-Z$13),valDiscPrec)),1)),Z$8)</f>
        <v>0</v>
      </c>
      <c r="AA14" s="164">
        <f t="array" aca="1" ref="AA14" ca="1">MIN(INDEX(CEILING(1-(1-AA$16:AA$90)*(1-AA$13),valDiscPrec),MATCH(AA$12,listDisc/(1-CEILING(1-(1-AA$16:AA$90)*(1-AA$13),valDiscPrec)),1)),AA$8)</f>
        <v>0</v>
      </c>
      <c r="AB14" s="164">
        <f t="array" aca="1" ref="AB14" ca="1">MIN(INDEX(CEILING(1-(1-AB$16:AB$90)*(1-AB$13),valDiscPrec),MATCH(AB$12,listDisc/(1-CEILING(1-(1-AB$16:AB$90)*(1-AB$13),valDiscPrec)),1)),AB$8)</f>
        <v>0</v>
      </c>
      <c r="AC14" s="164">
        <f t="array" aca="1" ref="AC14" ca="1">MIN(INDEX(CEILING(1-(1-AC$16:AC$90)*(1-AC$13),valDiscPrec),MATCH(AC$12,listDisc/(1-CEILING(1-(1-AC$16:AC$90)*(1-AC$13),valDiscPrec)),1)),AC$8)</f>
        <v>0</v>
      </c>
      <c r="AD14" s="164">
        <f t="array" aca="1" ref="AD14" ca="1">MIN(INDEX(CEILING(1-(1-AD$16:AD$90)*(1-AD$13),valDiscPrec),MATCH(AD$12,listDisc/(1-CEILING(1-(1-AD$16:AD$90)*(1-AD$13),valDiscPrec)),1)),AD$8)</f>
        <v>0</v>
      </c>
      <c r="AE14" s="198"/>
    </row>
    <row r="15" spans="1:31" s="155" customFormat="1" ht="12" thickBot="1" x14ac:dyDescent="0.25">
      <c r="B15" s="192"/>
      <c r="C15" s="210">
        <f t="array" aca="1" ref="C15" ca="1">MIN(INDEX(C$16:C$97,MATCH(C$12,listDiscYa/(1-CEILING(1-(1-C$16:C$97)*(1-C$13),valDiscPrec)),1)),C$8)</f>
        <v>0</v>
      </c>
      <c r="D15" s="192"/>
      <c r="E15" s="170">
        <f t="array" aca="1" ref="E15" ca="1">MIN(INDEX(E$16:E$90,MATCH(E$12,listDisc/(1-CEILING(1-(1-E$16:E$90)*(1-E$13),valDiscPrec)),1)),E$8)</f>
        <v>0</v>
      </c>
      <c r="F15" s="170">
        <f t="array" aca="1" ref="F15" ca="1">MIN(INDEX(F$16:F$90,MATCH(F$12,listDisc/(1-CEILING(1-(1-F$16:F$90)*(1-F$13),valDiscPrec)),1)),F$8)</f>
        <v>0</v>
      </c>
      <c r="G15" s="170">
        <f t="array" aca="1" ref="G15" ca="1">MIN(INDEX(G$16:G$90,MATCH(G$12,listDisc/(1-CEILING(1-(1-G$16:G$90)*(1-G$13),valDiscPrec)),1)),G$8)</f>
        <v>0</v>
      </c>
      <c r="H15" s="170">
        <f t="array" aca="1" ref="H15" ca="1">MIN(INDEX(H$16:H$90,MATCH(H$12,listDisc/(1-CEILING(1-(1-H$16:H$90)*(1-H$13),valDiscPrec)),1)),H$8)</f>
        <v>0</v>
      </c>
      <c r="I15" s="170">
        <f t="array" aca="1" ref="I15" ca="1">MIN(INDEX(I$16:I$90,MATCH(I$12,listDisc/(1-CEILING(1-(1-I$16:I$90)*(1-I$13),valDiscPrec)),1)),I$8)</f>
        <v>0</v>
      </c>
      <c r="J15" s="170">
        <f t="array" aca="1" ref="J15" ca="1">MIN(INDEX(J$16:J$90,MATCH(J$12,listDisc/(1-CEILING(1-(1-J$16:J$90)*(1-J$13),valDiscPrec)),1)),J$8)</f>
        <v>0</v>
      </c>
      <c r="K15" s="170">
        <f t="array" aca="1" ref="K15" ca="1">MIN(INDEX(K$16:K$90,MATCH(K$12,listDisc/(1-CEILING(1-(1-K$16:K$90)*(1-K$13),valDiscPrec)),1)),K$8)</f>
        <v>0</v>
      </c>
      <c r="L15" s="170">
        <f t="array" aca="1" ref="L15" ca="1">MIN(INDEX(L$16:L$90,MATCH(L$12,listDisc/(1-CEILING(1-(1-L$16:L$90)*(1-L$13),valDiscPrec)),1)),L$8)</f>
        <v>0</v>
      </c>
      <c r="M15" s="170">
        <f t="array" aca="1" ref="M15" ca="1">MIN(INDEX(M$16:M$90,MATCH(M$12,listDisc/(1-CEILING(1-(1-M$16:M$90)*(1-M$13),valDiscPrec)),1)),M$8)</f>
        <v>0</v>
      </c>
      <c r="N15" s="170">
        <f t="array" aca="1" ref="N15" ca="1">MIN(INDEX(N$16:N$90,MATCH(N$12,listDisc/(1-CEILING(1-(1-N$16:N$90)*(1-N$13),valDiscPrec)),1)),N$8)</f>
        <v>0</v>
      </c>
      <c r="O15" s="170">
        <f t="array" aca="1" ref="O15" ca="1">MIN(INDEX(O$16:O$90,MATCH(O$12,listDisc/(1-CEILING(1-(1-O$16:O$90)*(1-O$13),valDiscPrec)),1)),O$8)</f>
        <v>0</v>
      </c>
      <c r="P15" s="170">
        <f t="array" aca="1" ref="P15" ca="1">MIN(INDEX(P$16:P$90,MATCH(P$12,listDisc/(1-CEILING(1-(1-P$16:P$90)*(1-P$13),valDiscPrec)),1)),P$8)</f>
        <v>0</v>
      </c>
      <c r="Q15" s="170">
        <f t="array" aca="1" ref="Q15" ca="1">MIN(INDEX(Q$16:Q$90,MATCH(Q$12,listDisc/(1-CEILING(1-(1-Q$16:Q$90)*(1-Q$13),valDiscPrec)),1)),Q$8)</f>
        <v>0</v>
      </c>
      <c r="R15" s="170">
        <f t="array" aca="1" ref="R15" ca="1">MIN(INDEX(R$16:R$90,MATCH(R$12,listDisc/(1-CEILING(1-(1-R$16:R$90)*(1-R$13),valDiscPrec)),1)),R$8)</f>
        <v>0</v>
      </c>
      <c r="S15" s="170">
        <f t="array" aca="1" ref="S15" ca="1">MIN(INDEX(S$16:S$90,MATCH(S$12,listDisc/(1-CEILING(1-(1-S$16:S$90)*(1-S$13),valDiscPrec)),1)),S$8)</f>
        <v>0</v>
      </c>
      <c r="T15" s="170">
        <f t="array" aca="1" ref="T15" ca="1">MIN(INDEX(T$16:T$90,MATCH(T$12,listDisc/(1-CEILING(1-(1-T$16:T$90)*(1-T$13),valDiscPrec)),1)),T$8)</f>
        <v>0</v>
      </c>
      <c r="U15" s="170">
        <f t="array" aca="1" ref="U15" ca="1">MIN(INDEX(U$16:U$90,MATCH(U$12,listDisc/(1-CEILING(1-(1-U$16:U$90)*(1-U$13),valDiscPrec)),1)),U$8)</f>
        <v>0</v>
      </c>
      <c r="V15" s="170">
        <f t="array" aca="1" ref="V15" ca="1">MIN(INDEX(V$16:V$90,MATCH(V$12,listDisc/(1-CEILING(1-(1-V$16:V$90)*(1-V$13),valDiscPrec)),1)),V$8)</f>
        <v>0</v>
      </c>
      <c r="W15" s="170">
        <f t="array" aca="1" ref="W15" ca="1">MIN(INDEX(W$16:W$90,MATCH(W$12,listDisc/(1-CEILING(1-(1-W$16:W$90)*(1-W$13),valDiscPrec)),1)),W$8)</f>
        <v>0</v>
      </c>
      <c r="X15" s="170">
        <f t="array" aca="1" ref="X15" ca="1">MIN(INDEX(X$16:X$90,MATCH(X$12,listDisc/(1-CEILING(1-(1-X$16:X$90)*(1-X$13),valDiscPrec)),1)),X$8)</f>
        <v>0</v>
      </c>
      <c r="Y15" s="170">
        <f t="array" aca="1" ref="Y15" ca="1">MIN(INDEX(Y$16:Y$90,MATCH(Y$12,listDisc/(1-CEILING(1-(1-Y$16:Y$90)*(1-Y$13),valDiscPrec)),1)),Y$8)</f>
        <v>0</v>
      </c>
      <c r="Z15" s="170">
        <f t="array" aca="1" ref="Z15" ca="1">MIN(INDEX(Z$16:Z$90,MATCH(Z$12,listDisc/(1-CEILING(1-(1-Z$16:Z$90)*(1-Z$13),valDiscPrec)),1)),Z$8)</f>
        <v>0</v>
      </c>
      <c r="AA15" s="170">
        <f t="array" aca="1" ref="AA15" ca="1">MIN(INDEX(AA$16:AA$90,MATCH(AA$12,listDisc/(1-CEILING(1-(1-AA$16:AA$90)*(1-AA$13),valDiscPrec)),1)),AA$8)</f>
        <v>0</v>
      </c>
      <c r="AB15" s="170">
        <f t="array" aca="1" ref="AB15" ca="1">MIN(INDEX(AB$16:AB$90,MATCH(AB$12,listDisc/(1-CEILING(1-(1-AB$16:AB$90)*(1-AB$13),valDiscPrec)),1)),AB$8)</f>
        <v>0</v>
      </c>
      <c r="AC15" s="170">
        <f t="array" aca="1" ref="AC15" ca="1">MIN(INDEX(AC$16:AC$90,MATCH(AC$12,listDisc/(1-CEILING(1-(1-AC$16:AC$90)*(1-AC$13),valDiscPrec)),1)),AC$8)</f>
        <v>0</v>
      </c>
      <c r="AD15" s="170">
        <f t="array" aca="1" ref="AD15" ca="1">MIN(INDEX(AD$16:AD$90,MATCH(AD$12,listDisc/(1-CEILING(1-(1-AD$16:AD$90)*(1-AD$13),valDiscPrec)),1)),AD$8)</f>
        <v>0</v>
      </c>
      <c r="AE15" s="198"/>
    </row>
    <row r="16" spans="1:31" x14ac:dyDescent="0.2">
      <c r="B16" s="184">
        <v>0</v>
      </c>
      <c r="C16" s="211">
        <v>0</v>
      </c>
      <c r="D16" s="184">
        <v>0</v>
      </c>
      <c r="E16" s="236">
        <v>0</v>
      </c>
      <c r="F16" s="236">
        <v>0</v>
      </c>
      <c r="G16" s="236">
        <v>0</v>
      </c>
      <c r="H16" s="237">
        <v>0</v>
      </c>
      <c r="I16" s="237">
        <v>0</v>
      </c>
      <c r="J16" s="237">
        <v>0</v>
      </c>
      <c r="K16" s="237">
        <v>0</v>
      </c>
      <c r="L16" s="237">
        <v>0</v>
      </c>
      <c r="M16" s="237">
        <v>0</v>
      </c>
      <c r="N16" s="237">
        <v>0</v>
      </c>
      <c r="O16" s="237">
        <v>0</v>
      </c>
      <c r="P16" s="237">
        <v>0</v>
      </c>
      <c r="Q16" s="237">
        <v>0</v>
      </c>
      <c r="R16" s="237">
        <v>0</v>
      </c>
      <c r="S16" s="237">
        <v>0</v>
      </c>
      <c r="T16" s="237">
        <v>0</v>
      </c>
      <c r="U16" s="237">
        <v>0</v>
      </c>
      <c r="V16" s="237">
        <v>0</v>
      </c>
      <c r="W16" s="237">
        <v>0</v>
      </c>
      <c r="X16" s="237">
        <v>0</v>
      </c>
      <c r="Y16" s="237">
        <v>0</v>
      </c>
      <c r="Z16" s="237">
        <v>0</v>
      </c>
      <c r="AA16" s="237">
        <v>0</v>
      </c>
      <c r="AB16" s="237">
        <v>0</v>
      </c>
      <c r="AC16" s="237">
        <v>0</v>
      </c>
      <c r="AD16" s="237">
        <v>0</v>
      </c>
      <c r="AE16" s="193"/>
    </row>
    <row r="17" spans="2:31" x14ac:dyDescent="0.2">
      <c r="B17" s="185">
        <v>1</v>
      </c>
      <c r="C17" s="212">
        <v>0</v>
      </c>
      <c r="D17" s="185">
        <v>1</v>
      </c>
      <c r="E17" s="238">
        <v>0.05</v>
      </c>
      <c r="F17" s="238">
        <v>0</v>
      </c>
      <c r="G17" s="238">
        <v>0.05</v>
      </c>
      <c r="H17" s="239">
        <v>0.1</v>
      </c>
      <c r="I17" s="239">
        <v>0.1</v>
      </c>
      <c r="J17" s="239">
        <v>0.1</v>
      </c>
      <c r="K17" s="239">
        <v>0.05</v>
      </c>
      <c r="L17" s="239">
        <v>0.05</v>
      </c>
      <c r="M17" s="239">
        <v>0.1</v>
      </c>
      <c r="N17" s="239">
        <v>0.1</v>
      </c>
      <c r="O17" s="239">
        <v>0.1</v>
      </c>
      <c r="P17" s="239">
        <v>0.1</v>
      </c>
      <c r="Q17" s="239">
        <v>0.1</v>
      </c>
      <c r="R17" s="239">
        <v>0.1</v>
      </c>
      <c r="S17" s="239">
        <v>0.1</v>
      </c>
      <c r="T17" s="239">
        <v>0.1</v>
      </c>
      <c r="U17" s="239">
        <v>0.1</v>
      </c>
      <c r="V17" s="239">
        <v>0.1</v>
      </c>
      <c r="W17" s="239">
        <v>0.1</v>
      </c>
      <c r="X17" s="239">
        <v>0.1</v>
      </c>
      <c r="Y17" s="239">
        <v>0.1</v>
      </c>
      <c r="Z17" s="239">
        <v>0.1</v>
      </c>
      <c r="AA17" s="239">
        <v>0.1</v>
      </c>
      <c r="AB17" s="239">
        <v>0.1</v>
      </c>
      <c r="AC17" s="239">
        <v>0.05</v>
      </c>
      <c r="AD17" s="239">
        <v>0.1</v>
      </c>
      <c r="AE17" s="194"/>
    </row>
    <row r="18" spans="2:31" s="181" customFormat="1" x14ac:dyDescent="0.2">
      <c r="B18" s="185">
        <v>125000</v>
      </c>
      <c r="C18" s="212">
        <v>0</v>
      </c>
      <c r="D18" s="185">
        <v>10000</v>
      </c>
      <c r="E18" s="160">
        <f t="shared" ref="E18:V27" si="16">IF($D18&lt;=E$3,CEILING(((E$7-E$17)/(E$5-1))*(ROW()-ROW(E$17))+E$17,0.25%),IF($D18&lt;=E$4,CEILING(((E$8-E$7)/(E$6-E$5))*(ROW()-E$5-ROW(E$17)+1)+E$7,0.25%),E$8))</f>
        <v>5.5E-2</v>
      </c>
      <c r="F18" s="160">
        <f t="shared" si="16"/>
        <v>0</v>
      </c>
      <c r="G18" s="160">
        <f t="shared" si="16"/>
        <v>0.06</v>
      </c>
      <c r="H18" s="158">
        <f t="shared" si="16"/>
        <v>0.11</v>
      </c>
      <c r="I18" s="158">
        <f t="shared" si="16"/>
        <v>0.11</v>
      </c>
      <c r="J18" s="158">
        <f t="shared" si="16"/>
        <v>0.1125</v>
      </c>
      <c r="K18" s="158">
        <f t="shared" ref="K18:T27" si="17">IF($D18&lt;=K$3,CEILING(((K$7-K$17)/(K$5-1))*(ROW()-ROW(K$17))+K$17,0.25%),IF($D18&lt;=K$4,CEILING(((K$8-K$7)/(K$6-K$5))*(ROW()-K$5-ROW(K$17)+1)+K$7,0.25%),K$8))</f>
        <v>5.7500000000000002E-2</v>
      </c>
      <c r="L18" s="158">
        <f t="shared" si="17"/>
        <v>5.5E-2</v>
      </c>
      <c r="M18" s="158">
        <f t="shared" si="17"/>
        <v>0.1125</v>
      </c>
      <c r="N18" s="158">
        <f t="shared" si="17"/>
        <v>0.1125</v>
      </c>
      <c r="O18" s="158">
        <f t="shared" si="17"/>
        <v>0.11</v>
      </c>
      <c r="P18" s="158">
        <f t="shared" si="17"/>
        <v>0.10250000000000001</v>
      </c>
      <c r="Q18" s="158">
        <f t="shared" si="17"/>
        <v>0.1125</v>
      </c>
      <c r="R18" s="158">
        <f t="shared" si="17"/>
        <v>0.1125</v>
      </c>
      <c r="S18" s="158">
        <f t="shared" si="17"/>
        <v>0.115</v>
      </c>
      <c r="T18" s="158">
        <f t="shared" si="17"/>
        <v>0.115</v>
      </c>
      <c r="U18" s="158">
        <f t="shared" si="16"/>
        <v>0.11750000000000001</v>
      </c>
      <c r="V18" s="158">
        <f t="shared" si="16"/>
        <v>0.115</v>
      </c>
      <c r="W18" s="158">
        <f t="shared" ref="W18:X27" si="18">IF($D18&lt;=W$3,CEILING(((W$7-W$17)/(W$5-1))*(ROW()-ROW(W$17))+W$17,0.25%),IF($D18&lt;=W$4,CEILING(((W$8-W$7)/(W$6-W$5))*(ROW()-W$5-ROW(W$17)+1)+W$7,0.25%),W$8))</f>
        <v>0.11</v>
      </c>
      <c r="X18" s="158">
        <f t="shared" si="18"/>
        <v>0.115</v>
      </c>
      <c r="Y18" s="158">
        <f t="shared" ref="Y18:AA37" si="19">IF($D18&lt;=Y$3,CEILING(((Y$7-Y$17)/(Y$5-1))*(ROW()-ROW(Y$17))+Y$17,0.25%),IF($D18&lt;=Y$4,CEILING(((Y$8-Y$7)/(Y$6-Y$5))*(ROW()-Y$5-ROW(Y$17)+1)+Y$7,0.25%),Y$8))</f>
        <v>0.11</v>
      </c>
      <c r="Z18" s="158">
        <f t="shared" si="19"/>
        <v>0.11</v>
      </c>
      <c r="AA18" s="158">
        <f t="shared" si="19"/>
        <v>0.115</v>
      </c>
      <c r="AB18" s="158">
        <f t="shared" ref="AB18:AB49" si="20">IF($D18&lt;=AB$3,CEILING(((AB$7-AB$17)/(AB$5-1))*(ROW()-ROW(AB$17))+AB$17,0.25%),IF($D18&lt;=AB$4,CEILING(((AB$8-AB$7)/(AB$6-AB$5))*(ROW()-AB$5-ROW(AB$17)+1)+AB$7,0.25%),AB$8))</f>
        <v>0.11</v>
      </c>
      <c r="AC18" s="158">
        <f t="shared" ref="AC18:AC27" si="21">IF($D18&lt;=AC$3,CEILING(((AC$7-AC$17)/(AC$5-1))*(ROW()-ROW(AC$17))+AC$17,0.25%),IF($D18&lt;=AC$4,CEILING(((AC$8-AC$7)/(AC$6-AC$5))*(ROW()-AC$5-ROW(AC$17)+1)+AC$7,0.25%),AC$8))</f>
        <v>5.5E-2</v>
      </c>
      <c r="AD18" s="158">
        <f t="shared" ref="AD18:AD49" si="22">IF($D18&lt;=AD$3,CEILING(((AD$7-AD$17)/(AD$5-1))*(ROW()-ROW(AD$17))+AD$17,0.25%),IF($D18&lt;=AD$4,CEILING(((AD$8-AD$7)/(AD$6-AD$5))*(ROW()-AD$5-ROW(AD$17)+1)+AD$7,0.25%),AD$8))</f>
        <v>0.115</v>
      </c>
      <c r="AE18" s="194"/>
    </row>
    <row r="19" spans="2:31" x14ac:dyDescent="0.2">
      <c r="B19" s="185">
        <v>250000</v>
      </c>
      <c r="C19" s="212">
        <v>0</v>
      </c>
      <c r="D19" s="185">
        <v>15000</v>
      </c>
      <c r="E19" s="160">
        <f t="shared" si="16"/>
        <v>0.06</v>
      </c>
      <c r="F19" s="160">
        <f t="shared" si="16"/>
        <v>0</v>
      </c>
      <c r="G19" s="160">
        <f t="shared" si="16"/>
        <v>6.7500000000000004E-2</v>
      </c>
      <c r="H19" s="158">
        <f t="shared" si="16"/>
        <v>0.12</v>
      </c>
      <c r="I19" s="158">
        <f t="shared" si="16"/>
        <v>0.12</v>
      </c>
      <c r="J19" s="158">
        <f t="shared" si="16"/>
        <v>0.1225</v>
      </c>
      <c r="K19" s="158">
        <f t="shared" si="17"/>
        <v>6.25E-2</v>
      </c>
      <c r="L19" s="158">
        <f t="shared" si="17"/>
        <v>0.06</v>
      </c>
      <c r="M19" s="158">
        <f t="shared" si="17"/>
        <v>0.1225</v>
      </c>
      <c r="N19" s="158">
        <f t="shared" si="17"/>
        <v>0.125</v>
      </c>
      <c r="O19" s="158">
        <f t="shared" si="17"/>
        <v>0.12</v>
      </c>
      <c r="P19" s="158">
        <f t="shared" si="17"/>
        <v>0.105</v>
      </c>
      <c r="Q19" s="158">
        <f t="shared" si="17"/>
        <v>0.1225</v>
      </c>
      <c r="R19" s="158">
        <f t="shared" si="17"/>
        <v>0.1225</v>
      </c>
      <c r="S19" s="158">
        <f t="shared" si="17"/>
        <v>0.1275</v>
      </c>
      <c r="T19" s="158">
        <f t="shared" si="17"/>
        <v>0.1275</v>
      </c>
      <c r="U19" s="158">
        <f t="shared" si="16"/>
        <v>0.13250000000000001</v>
      </c>
      <c r="V19" s="158">
        <f t="shared" si="16"/>
        <v>0.1275</v>
      </c>
      <c r="W19" s="158">
        <f t="shared" si="18"/>
        <v>0.12</v>
      </c>
      <c r="X19" s="158">
        <f t="shared" si="18"/>
        <v>0.1275</v>
      </c>
      <c r="Y19" s="158">
        <f t="shared" si="19"/>
        <v>0.12</v>
      </c>
      <c r="Z19" s="158">
        <f t="shared" si="19"/>
        <v>0.12</v>
      </c>
      <c r="AA19" s="158">
        <f t="shared" si="19"/>
        <v>0.1275</v>
      </c>
      <c r="AB19" s="158">
        <f t="shared" si="20"/>
        <v>0.11750000000000001</v>
      </c>
      <c r="AC19" s="158">
        <f t="shared" si="21"/>
        <v>5.7500000000000002E-2</v>
      </c>
      <c r="AD19" s="158">
        <f t="shared" si="22"/>
        <v>0.13</v>
      </c>
      <c r="AE19" s="194"/>
    </row>
    <row r="20" spans="2:31" x14ac:dyDescent="0.2">
      <c r="B20" s="185">
        <v>375000</v>
      </c>
      <c r="C20" s="212">
        <v>0</v>
      </c>
      <c r="D20" s="185">
        <v>20000</v>
      </c>
      <c r="E20" s="160">
        <f t="shared" si="16"/>
        <v>6.5000000000000002E-2</v>
      </c>
      <c r="F20" s="160">
        <f t="shared" si="16"/>
        <v>0</v>
      </c>
      <c r="G20" s="160">
        <f t="shared" si="16"/>
        <v>7.7499999999999999E-2</v>
      </c>
      <c r="H20" s="158">
        <f t="shared" si="16"/>
        <v>0.13</v>
      </c>
      <c r="I20" s="158">
        <f t="shared" si="16"/>
        <v>0.13</v>
      </c>
      <c r="J20" s="158">
        <f t="shared" si="16"/>
        <v>0.13500000000000001</v>
      </c>
      <c r="K20" s="158">
        <f t="shared" si="17"/>
        <v>6.7500000000000004E-2</v>
      </c>
      <c r="L20" s="158">
        <f t="shared" si="17"/>
        <v>6.5000000000000002E-2</v>
      </c>
      <c r="M20" s="158">
        <f t="shared" si="17"/>
        <v>0.13250000000000001</v>
      </c>
      <c r="N20" s="158">
        <f t="shared" si="17"/>
        <v>0.13750000000000001</v>
      </c>
      <c r="O20" s="158">
        <f t="shared" si="17"/>
        <v>0.13</v>
      </c>
      <c r="P20" s="158">
        <f t="shared" si="17"/>
        <v>0.1075</v>
      </c>
      <c r="Q20" s="158">
        <f t="shared" si="17"/>
        <v>0.13250000000000001</v>
      </c>
      <c r="R20" s="158">
        <f t="shared" si="17"/>
        <v>0.13500000000000001</v>
      </c>
      <c r="S20" s="158">
        <f t="shared" si="17"/>
        <v>0.14000000000000001</v>
      </c>
      <c r="T20" s="158">
        <f t="shared" si="17"/>
        <v>0.14000000000000001</v>
      </c>
      <c r="U20" s="158">
        <f t="shared" si="16"/>
        <v>0.14749999999999999</v>
      </c>
      <c r="V20" s="158">
        <f t="shared" si="16"/>
        <v>0.14000000000000001</v>
      </c>
      <c r="W20" s="158">
        <f t="shared" si="18"/>
        <v>0.1275</v>
      </c>
      <c r="X20" s="158">
        <f t="shared" si="18"/>
        <v>0.14000000000000001</v>
      </c>
      <c r="Y20" s="158">
        <f t="shared" si="19"/>
        <v>0.13</v>
      </c>
      <c r="Z20" s="158">
        <f t="shared" si="19"/>
        <v>0.13</v>
      </c>
      <c r="AA20" s="158">
        <f t="shared" si="19"/>
        <v>0.14000000000000001</v>
      </c>
      <c r="AB20" s="158">
        <f t="shared" si="20"/>
        <v>0.1275</v>
      </c>
      <c r="AC20" s="158">
        <f t="shared" si="21"/>
        <v>0.06</v>
      </c>
      <c r="AD20" s="158">
        <f t="shared" si="22"/>
        <v>0.14250000000000002</v>
      </c>
      <c r="AE20" s="194"/>
    </row>
    <row r="21" spans="2:31" x14ac:dyDescent="0.2">
      <c r="B21" s="185">
        <v>500000</v>
      </c>
      <c r="C21" s="212">
        <v>0</v>
      </c>
      <c r="D21" s="185">
        <v>30000</v>
      </c>
      <c r="E21" s="160">
        <f t="shared" si="16"/>
        <v>7.0000000000000007E-2</v>
      </c>
      <c r="F21" s="160">
        <f t="shared" si="16"/>
        <v>0</v>
      </c>
      <c r="G21" s="160">
        <f t="shared" si="16"/>
        <v>8.5000000000000006E-2</v>
      </c>
      <c r="H21" s="158">
        <f t="shared" si="16"/>
        <v>0.13750000000000001</v>
      </c>
      <c r="I21" s="158">
        <f t="shared" si="16"/>
        <v>0.13750000000000001</v>
      </c>
      <c r="J21" s="158">
        <f t="shared" si="16"/>
        <v>0.14499999999999999</v>
      </c>
      <c r="K21" s="158">
        <f t="shared" si="17"/>
        <v>7.2499999999999995E-2</v>
      </c>
      <c r="L21" s="158">
        <f t="shared" si="17"/>
        <v>7.0000000000000007E-2</v>
      </c>
      <c r="M21" s="158">
        <f t="shared" si="17"/>
        <v>0.14250000000000002</v>
      </c>
      <c r="N21" s="158">
        <f t="shared" si="17"/>
        <v>0.14749999999999999</v>
      </c>
      <c r="O21" s="158">
        <f t="shared" si="17"/>
        <v>0.13750000000000001</v>
      </c>
      <c r="P21" s="158">
        <f t="shared" si="17"/>
        <v>0.11</v>
      </c>
      <c r="Q21" s="158">
        <f t="shared" si="17"/>
        <v>0.14250000000000002</v>
      </c>
      <c r="R21" s="158">
        <f t="shared" si="17"/>
        <v>0.14499999999999999</v>
      </c>
      <c r="S21" s="158">
        <f t="shared" si="17"/>
        <v>0.155</v>
      </c>
      <c r="T21" s="158">
        <f t="shared" si="17"/>
        <v>0.155</v>
      </c>
      <c r="U21" s="158">
        <f t="shared" si="16"/>
        <v>0.16250000000000001</v>
      </c>
      <c r="V21" s="158">
        <f t="shared" si="16"/>
        <v>0.155</v>
      </c>
      <c r="W21" s="158">
        <f t="shared" si="18"/>
        <v>0.13750000000000001</v>
      </c>
      <c r="X21" s="158">
        <f t="shared" si="18"/>
        <v>0.155</v>
      </c>
      <c r="Y21" s="158">
        <f t="shared" si="19"/>
        <v>0.13750000000000001</v>
      </c>
      <c r="Z21" s="158">
        <f t="shared" si="19"/>
        <v>0.13750000000000001</v>
      </c>
      <c r="AA21" s="158">
        <f t="shared" si="19"/>
        <v>0.155</v>
      </c>
      <c r="AB21" s="158">
        <f t="shared" si="20"/>
        <v>0.13500000000000001</v>
      </c>
      <c r="AC21" s="158">
        <f t="shared" si="21"/>
        <v>6.5000000000000002E-2</v>
      </c>
      <c r="AD21" s="158">
        <f t="shared" si="22"/>
        <v>0.1575</v>
      </c>
      <c r="AE21" s="194"/>
    </row>
    <row r="22" spans="2:31" x14ac:dyDescent="0.2">
      <c r="B22" s="185">
        <v>625000</v>
      </c>
      <c r="C22" s="212">
        <v>0</v>
      </c>
      <c r="D22" s="185">
        <v>40000</v>
      </c>
      <c r="E22" s="160">
        <f t="shared" si="16"/>
        <v>7.4999999999999997E-2</v>
      </c>
      <c r="F22" s="160">
        <f t="shared" si="16"/>
        <v>0</v>
      </c>
      <c r="G22" s="160">
        <f t="shared" si="16"/>
        <v>9.2499999999999999E-2</v>
      </c>
      <c r="H22" s="158">
        <f t="shared" si="16"/>
        <v>0.14749999999999999</v>
      </c>
      <c r="I22" s="158">
        <f t="shared" si="16"/>
        <v>0.14749999999999999</v>
      </c>
      <c r="J22" s="158">
        <f t="shared" si="16"/>
        <v>0.1575</v>
      </c>
      <c r="K22" s="158">
        <f t="shared" si="17"/>
        <v>7.7499999999999999E-2</v>
      </c>
      <c r="L22" s="158">
        <f t="shared" si="17"/>
        <v>7.4999999999999997E-2</v>
      </c>
      <c r="M22" s="158">
        <f t="shared" si="17"/>
        <v>0.155</v>
      </c>
      <c r="N22" s="158">
        <f t="shared" si="17"/>
        <v>0.16</v>
      </c>
      <c r="O22" s="158">
        <f t="shared" si="17"/>
        <v>0.14749999999999999</v>
      </c>
      <c r="P22" s="158">
        <f t="shared" si="17"/>
        <v>0.1125</v>
      </c>
      <c r="Q22" s="158">
        <f t="shared" si="17"/>
        <v>0.155</v>
      </c>
      <c r="R22" s="158">
        <f t="shared" si="17"/>
        <v>0.1575</v>
      </c>
      <c r="S22" s="158">
        <f t="shared" si="17"/>
        <v>0.16750000000000001</v>
      </c>
      <c r="T22" s="158">
        <f t="shared" si="17"/>
        <v>0.16750000000000001</v>
      </c>
      <c r="U22" s="158">
        <f t="shared" si="16"/>
        <v>0.17749999999999999</v>
      </c>
      <c r="V22" s="158">
        <f t="shared" si="16"/>
        <v>0.16750000000000001</v>
      </c>
      <c r="W22" s="158">
        <f t="shared" si="18"/>
        <v>0.14499999999999999</v>
      </c>
      <c r="X22" s="158">
        <f t="shared" si="18"/>
        <v>0.16750000000000001</v>
      </c>
      <c r="Y22" s="158">
        <f t="shared" si="19"/>
        <v>0.14749999999999999</v>
      </c>
      <c r="Z22" s="158">
        <f t="shared" si="19"/>
        <v>0.14749999999999999</v>
      </c>
      <c r="AA22" s="158">
        <f t="shared" si="19"/>
        <v>0.16750000000000001</v>
      </c>
      <c r="AB22" s="158">
        <f t="shared" si="20"/>
        <v>0.14250000000000002</v>
      </c>
      <c r="AC22" s="158">
        <f t="shared" si="21"/>
        <v>6.7500000000000004E-2</v>
      </c>
      <c r="AD22" s="158">
        <f t="shared" si="22"/>
        <v>0.17250000000000001</v>
      </c>
      <c r="AE22" s="194"/>
    </row>
    <row r="23" spans="2:31" x14ac:dyDescent="0.2">
      <c r="B23" s="185">
        <v>750000</v>
      </c>
      <c r="C23" s="212">
        <v>0</v>
      </c>
      <c r="D23" s="185">
        <v>50000</v>
      </c>
      <c r="E23" s="160">
        <f t="shared" si="16"/>
        <v>0.08</v>
      </c>
      <c r="F23" s="160">
        <f t="shared" si="16"/>
        <v>0</v>
      </c>
      <c r="G23" s="160">
        <f t="shared" si="16"/>
        <v>0.10250000000000001</v>
      </c>
      <c r="H23" s="158">
        <f t="shared" si="16"/>
        <v>0.1575</v>
      </c>
      <c r="I23" s="158">
        <f t="shared" si="16"/>
        <v>0.1575</v>
      </c>
      <c r="J23" s="158">
        <f t="shared" si="16"/>
        <v>0.16750000000000001</v>
      </c>
      <c r="K23" s="158">
        <f t="shared" si="17"/>
        <v>8.5000000000000006E-2</v>
      </c>
      <c r="L23" s="158">
        <f t="shared" si="17"/>
        <v>0.08</v>
      </c>
      <c r="M23" s="158">
        <f t="shared" si="17"/>
        <v>0.16500000000000001</v>
      </c>
      <c r="N23" s="158">
        <f t="shared" si="17"/>
        <v>0.17250000000000001</v>
      </c>
      <c r="O23" s="158">
        <f t="shared" si="17"/>
        <v>0.1575</v>
      </c>
      <c r="P23" s="158">
        <f t="shared" si="17"/>
        <v>0.115</v>
      </c>
      <c r="Q23" s="158">
        <f t="shared" si="17"/>
        <v>0.16500000000000001</v>
      </c>
      <c r="R23" s="158">
        <f t="shared" si="17"/>
        <v>0.16750000000000001</v>
      </c>
      <c r="S23" s="158">
        <f t="shared" si="17"/>
        <v>0.18</v>
      </c>
      <c r="T23" s="158">
        <f t="shared" si="17"/>
        <v>0.18</v>
      </c>
      <c r="U23" s="158">
        <f t="shared" si="16"/>
        <v>0.1925</v>
      </c>
      <c r="V23" s="158">
        <f t="shared" si="16"/>
        <v>0.18</v>
      </c>
      <c r="W23" s="158">
        <f t="shared" si="18"/>
        <v>0.155</v>
      </c>
      <c r="X23" s="158">
        <f t="shared" si="18"/>
        <v>0.18</v>
      </c>
      <c r="Y23" s="158">
        <f t="shared" si="19"/>
        <v>0.1575</v>
      </c>
      <c r="Z23" s="158">
        <f t="shared" si="19"/>
        <v>0.1575</v>
      </c>
      <c r="AA23" s="158">
        <f t="shared" si="19"/>
        <v>0.18</v>
      </c>
      <c r="AB23" s="158">
        <f t="shared" si="20"/>
        <v>0.1525</v>
      </c>
      <c r="AC23" s="158">
        <f t="shared" si="21"/>
        <v>7.0000000000000007E-2</v>
      </c>
      <c r="AD23" s="158">
        <f t="shared" si="22"/>
        <v>0.185</v>
      </c>
      <c r="AE23" s="194"/>
    </row>
    <row r="24" spans="2:31" x14ac:dyDescent="0.2">
      <c r="B24" s="185">
        <v>875000</v>
      </c>
      <c r="C24" s="212">
        <v>0</v>
      </c>
      <c r="D24" s="185">
        <v>75000</v>
      </c>
      <c r="E24" s="160">
        <f t="shared" si="16"/>
        <v>8.5000000000000006E-2</v>
      </c>
      <c r="F24" s="160">
        <f t="shared" si="16"/>
        <v>0</v>
      </c>
      <c r="G24" s="160">
        <f t="shared" si="16"/>
        <v>0.11</v>
      </c>
      <c r="H24" s="158">
        <f t="shared" si="16"/>
        <v>0.16500000000000001</v>
      </c>
      <c r="I24" s="158">
        <f t="shared" si="16"/>
        <v>0.16500000000000001</v>
      </c>
      <c r="J24" s="158">
        <f t="shared" si="16"/>
        <v>0.18</v>
      </c>
      <c r="K24" s="158">
        <f t="shared" si="17"/>
        <v>0.09</v>
      </c>
      <c r="L24" s="158">
        <f t="shared" si="17"/>
        <v>8.5000000000000006E-2</v>
      </c>
      <c r="M24" s="158">
        <f t="shared" si="17"/>
        <v>0.17500000000000002</v>
      </c>
      <c r="N24" s="158">
        <f t="shared" si="17"/>
        <v>0.185</v>
      </c>
      <c r="O24" s="158">
        <f t="shared" si="17"/>
        <v>0.16500000000000001</v>
      </c>
      <c r="P24" s="158">
        <f t="shared" si="17"/>
        <v>0.11750000000000001</v>
      </c>
      <c r="Q24" s="158">
        <f t="shared" si="17"/>
        <v>0.17500000000000002</v>
      </c>
      <c r="R24" s="158">
        <f t="shared" si="17"/>
        <v>0.18</v>
      </c>
      <c r="S24" s="158">
        <f t="shared" si="17"/>
        <v>0.19500000000000001</v>
      </c>
      <c r="T24" s="158">
        <f t="shared" si="17"/>
        <v>0.19500000000000001</v>
      </c>
      <c r="U24" s="158">
        <f t="shared" si="16"/>
        <v>0.20750000000000002</v>
      </c>
      <c r="V24" s="158">
        <f t="shared" si="16"/>
        <v>0.19500000000000001</v>
      </c>
      <c r="W24" s="158">
        <f t="shared" si="18"/>
        <v>0.16250000000000001</v>
      </c>
      <c r="X24" s="158">
        <f t="shared" si="18"/>
        <v>0.19500000000000001</v>
      </c>
      <c r="Y24" s="158">
        <f t="shared" si="19"/>
        <v>0.16500000000000001</v>
      </c>
      <c r="Z24" s="158">
        <f t="shared" si="19"/>
        <v>0.16500000000000001</v>
      </c>
      <c r="AA24" s="158">
        <f t="shared" si="19"/>
        <v>0.19500000000000001</v>
      </c>
      <c r="AB24" s="158">
        <f t="shared" si="20"/>
        <v>0.16</v>
      </c>
      <c r="AC24" s="158">
        <f t="shared" si="21"/>
        <v>7.4999999999999997E-2</v>
      </c>
      <c r="AD24" s="158">
        <f t="shared" si="22"/>
        <v>0.2</v>
      </c>
      <c r="AE24" s="194"/>
    </row>
    <row r="25" spans="2:31" x14ac:dyDescent="0.2">
      <c r="B25" s="185">
        <v>1000000</v>
      </c>
      <c r="C25" s="212">
        <v>0</v>
      </c>
      <c r="D25" s="185">
        <v>100000</v>
      </c>
      <c r="E25" s="160">
        <f t="shared" si="16"/>
        <v>0.09</v>
      </c>
      <c r="F25" s="160">
        <f t="shared" si="16"/>
        <v>0</v>
      </c>
      <c r="G25" s="160">
        <f t="shared" si="16"/>
        <v>0.12</v>
      </c>
      <c r="H25" s="158">
        <f t="shared" si="16"/>
        <v>0.17500000000000002</v>
      </c>
      <c r="I25" s="158">
        <f t="shared" si="16"/>
        <v>0.17500000000000002</v>
      </c>
      <c r="J25" s="158">
        <f t="shared" si="16"/>
        <v>0.19</v>
      </c>
      <c r="K25" s="158">
        <f t="shared" si="17"/>
        <v>9.5000000000000001E-2</v>
      </c>
      <c r="L25" s="158">
        <f t="shared" si="17"/>
        <v>0.09</v>
      </c>
      <c r="M25" s="158">
        <f t="shared" si="17"/>
        <v>0.185</v>
      </c>
      <c r="N25" s="158">
        <f t="shared" si="17"/>
        <v>0.19500000000000001</v>
      </c>
      <c r="O25" s="158">
        <f t="shared" si="17"/>
        <v>0.17500000000000002</v>
      </c>
      <c r="P25" s="158">
        <f t="shared" si="17"/>
        <v>0.12</v>
      </c>
      <c r="Q25" s="158">
        <f t="shared" si="17"/>
        <v>0.185</v>
      </c>
      <c r="R25" s="158">
        <f t="shared" si="17"/>
        <v>0.19</v>
      </c>
      <c r="S25" s="158">
        <f t="shared" si="17"/>
        <v>0.20750000000000002</v>
      </c>
      <c r="T25" s="158">
        <f t="shared" si="17"/>
        <v>0.20750000000000002</v>
      </c>
      <c r="U25" s="158">
        <f t="shared" si="16"/>
        <v>0.2225</v>
      </c>
      <c r="V25" s="158">
        <f t="shared" si="16"/>
        <v>0.20750000000000002</v>
      </c>
      <c r="W25" s="158">
        <f t="shared" si="18"/>
        <v>0.17250000000000001</v>
      </c>
      <c r="X25" s="158">
        <f t="shared" si="18"/>
        <v>0.20750000000000002</v>
      </c>
      <c r="Y25" s="158">
        <f t="shared" si="19"/>
        <v>0.17500000000000002</v>
      </c>
      <c r="Z25" s="158">
        <f t="shared" si="19"/>
        <v>0.17500000000000002</v>
      </c>
      <c r="AA25" s="158">
        <f t="shared" si="19"/>
        <v>0.20750000000000002</v>
      </c>
      <c r="AB25" s="158">
        <f t="shared" si="20"/>
        <v>0.17</v>
      </c>
      <c r="AC25" s="158">
        <f t="shared" si="21"/>
        <v>7.7499999999999999E-2</v>
      </c>
      <c r="AD25" s="158">
        <f t="shared" si="22"/>
        <v>0.215</v>
      </c>
      <c r="AE25" s="194"/>
    </row>
    <row r="26" spans="2:31" x14ac:dyDescent="0.2">
      <c r="B26" s="185">
        <v>1125000</v>
      </c>
      <c r="C26" s="212">
        <v>0</v>
      </c>
      <c r="D26" s="185">
        <v>150000</v>
      </c>
      <c r="E26" s="160">
        <f t="shared" si="16"/>
        <v>9.5000000000000001E-2</v>
      </c>
      <c r="F26" s="160">
        <f t="shared" si="16"/>
        <v>0</v>
      </c>
      <c r="G26" s="160">
        <f t="shared" si="16"/>
        <v>0.1275</v>
      </c>
      <c r="H26" s="158">
        <f t="shared" si="16"/>
        <v>0.185</v>
      </c>
      <c r="I26" s="158">
        <f t="shared" si="16"/>
        <v>0.185</v>
      </c>
      <c r="J26" s="158">
        <f t="shared" si="16"/>
        <v>0.20250000000000001</v>
      </c>
      <c r="K26" s="158">
        <f t="shared" si="17"/>
        <v>0.1</v>
      </c>
      <c r="L26" s="158">
        <f t="shared" si="17"/>
        <v>9.5000000000000001E-2</v>
      </c>
      <c r="M26" s="158">
        <f t="shared" si="17"/>
        <v>0.19750000000000001</v>
      </c>
      <c r="N26" s="158">
        <f t="shared" si="17"/>
        <v>0.20750000000000002</v>
      </c>
      <c r="O26" s="158">
        <f t="shared" si="17"/>
        <v>0.185</v>
      </c>
      <c r="P26" s="158">
        <f t="shared" si="17"/>
        <v>0.1225</v>
      </c>
      <c r="Q26" s="158">
        <f t="shared" si="17"/>
        <v>0.19750000000000001</v>
      </c>
      <c r="R26" s="158">
        <f t="shared" si="17"/>
        <v>0.20250000000000001</v>
      </c>
      <c r="S26" s="158">
        <f t="shared" si="17"/>
        <v>0.22</v>
      </c>
      <c r="T26" s="158">
        <f t="shared" si="17"/>
        <v>0.22</v>
      </c>
      <c r="U26" s="158">
        <f t="shared" si="16"/>
        <v>0.23750000000000002</v>
      </c>
      <c r="V26" s="158">
        <f t="shared" si="16"/>
        <v>0.22</v>
      </c>
      <c r="W26" s="158">
        <f t="shared" si="18"/>
        <v>0.18</v>
      </c>
      <c r="X26" s="158">
        <f t="shared" si="18"/>
        <v>0.22</v>
      </c>
      <c r="Y26" s="158">
        <f t="shared" si="19"/>
        <v>0.185</v>
      </c>
      <c r="Z26" s="158">
        <f t="shared" si="19"/>
        <v>0.185</v>
      </c>
      <c r="AA26" s="158">
        <f t="shared" si="19"/>
        <v>0.22</v>
      </c>
      <c r="AB26" s="158">
        <f t="shared" si="20"/>
        <v>0.17749999999999999</v>
      </c>
      <c r="AC26" s="158">
        <f t="shared" si="21"/>
        <v>0.08</v>
      </c>
      <c r="AD26" s="158">
        <f t="shared" si="22"/>
        <v>0.22750000000000001</v>
      </c>
      <c r="AE26" s="194"/>
    </row>
    <row r="27" spans="2:31" x14ac:dyDescent="0.2">
      <c r="B27" s="185">
        <v>1250000</v>
      </c>
      <c r="C27" s="212">
        <v>0</v>
      </c>
      <c r="D27" s="185">
        <v>200000</v>
      </c>
      <c r="E27" s="160">
        <f t="shared" si="16"/>
        <v>0.1</v>
      </c>
      <c r="F27" s="160">
        <f t="shared" si="16"/>
        <v>0</v>
      </c>
      <c r="G27" s="160">
        <f t="shared" si="16"/>
        <v>0.13500000000000001</v>
      </c>
      <c r="H27" s="158">
        <f t="shared" si="16"/>
        <v>0.1925</v>
      </c>
      <c r="I27" s="158">
        <f t="shared" si="16"/>
        <v>0.1925</v>
      </c>
      <c r="J27" s="158">
        <f t="shared" si="16"/>
        <v>0.21249999999999999</v>
      </c>
      <c r="K27" s="158">
        <f t="shared" si="17"/>
        <v>0.105</v>
      </c>
      <c r="L27" s="158">
        <f t="shared" si="17"/>
        <v>0.1</v>
      </c>
      <c r="M27" s="158">
        <f t="shared" si="17"/>
        <v>0.20750000000000002</v>
      </c>
      <c r="N27" s="158">
        <f t="shared" si="17"/>
        <v>0.22</v>
      </c>
      <c r="O27" s="158">
        <f t="shared" si="17"/>
        <v>0.1925</v>
      </c>
      <c r="P27" s="158">
        <f t="shared" si="17"/>
        <v>0.125</v>
      </c>
      <c r="Q27" s="158">
        <f t="shared" si="17"/>
        <v>0.20750000000000002</v>
      </c>
      <c r="R27" s="158">
        <f t="shared" si="17"/>
        <v>0.21249999999999999</v>
      </c>
      <c r="S27" s="158">
        <f t="shared" si="17"/>
        <v>0.23500000000000001</v>
      </c>
      <c r="T27" s="158">
        <f t="shared" si="17"/>
        <v>0.23500000000000001</v>
      </c>
      <c r="U27" s="158">
        <f t="shared" si="16"/>
        <v>0.2525</v>
      </c>
      <c r="V27" s="158">
        <f t="shared" si="16"/>
        <v>0.23500000000000001</v>
      </c>
      <c r="W27" s="158">
        <f t="shared" si="18"/>
        <v>0.19</v>
      </c>
      <c r="X27" s="158">
        <f t="shared" si="18"/>
        <v>0.23500000000000001</v>
      </c>
      <c r="Y27" s="158">
        <f t="shared" si="19"/>
        <v>0.1925</v>
      </c>
      <c r="Z27" s="158">
        <f t="shared" si="19"/>
        <v>0.1925</v>
      </c>
      <c r="AA27" s="158">
        <f t="shared" si="19"/>
        <v>0.23500000000000001</v>
      </c>
      <c r="AB27" s="158">
        <f t="shared" si="20"/>
        <v>0.185</v>
      </c>
      <c r="AC27" s="158">
        <f t="shared" si="21"/>
        <v>8.5000000000000006E-2</v>
      </c>
      <c r="AD27" s="158">
        <f t="shared" si="22"/>
        <v>0.24249999999999999</v>
      </c>
      <c r="AE27" s="194"/>
    </row>
    <row r="28" spans="2:31" x14ac:dyDescent="0.2">
      <c r="B28" s="185">
        <v>1375000</v>
      </c>
      <c r="C28" s="212">
        <v>0</v>
      </c>
      <c r="D28" s="185">
        <v>300000</v>
      </c>
      <c r="E28" s="160">
        <f t="shared" ref="E28:V37" si="23">IF($D28&lt;=E$3,CEILING(((E$7-E$17)/(E$5-1))*(ROW()-ROW(E$17))+E$17,0.25%),IF($D28&lt;=E$4,CEILING(((E$8-E$7)/(E$6-E$5))*(ROW()-E$5-ROW(E$17)+1)+E$7,0.25%),E$8))</f>
        <v>0.105</v>
      </c>
      <c r="F28" s="160">
        <f t="shared" si="23"/>
        <v>0</v>
      </c>
      <c r="G28" s="160">
        <f t="shared" si="23"/>
        <v>0.14499999999999999</v>
      </c>
      <c r="H28" s="158">
        <f t="shared" si="23"/>
        <v>0.20250000000000001</v>
      </c>
      <c r="I28" s="158">
        <f t="shared" si="23"/>
        <v>0.20250000000000001</v>
      </c>
      <c r="J28" s="158">
        <f t="shared" si="23"/>
        <v>0.22500000000000001</v>
      </c>
      <c r="K28" s="158">
        <f t="shared" si="23"/>
        <v>0.11</v>
      </c>
      <c r="L28" s="158">
        <f t="shared" si="23"/>
        <v>0.105</v>
      </c>
      <c r="M28" s="158">
        <f t="shared" si="23"/>
        <v>0.2175</v>
      </c>
      <c r="N28" s="158">
        <f t="shared" si="23"/>
        <v>0.23</v>
      </c>
      <c r="O28" s="158">
        <f t="shared" si="23"/>
        <v>0.20250000000000001</v>
      </c>
      <c r="P28" s="158">
        <f t="shared" si="23"/>
        <v>0.1275</v>
      </c>
      <c r="Q28" s="158">
        <f t="shared" si="23"/>
        <v>0.2175</v>
      </c>
      <c r="R28" s="158">
        <f t="shared" si="23"/>
        <v>0.22500000000000001</v>
      </c>
      <c r="S28" s="158">
        <f t="shared" si="23"/>
        <v>0.2475</v>
      </c>
      <c r="T28" s="158">
        <f t="shared" si="23"/>
        <v>0.2475</v>
      </c>
      <c r="U28" s="158">
        <f t="shared" si="23"/>
        <v>0.26750000000000002</v>
      </c>
      <c r="V28" s="158">
        <f t="shared" si="23"/>
        <v>0.2475</v>
      </c>
      <c r="W28" s="158">
        <f t="shared" ref="W28:X37" si="24">IF($D28&lt;=W$3,CEILING(((W$7-W$17)/(W$5-1))*(ROW()-ROW(W$17))+W$17,0.25%),IF($D28&lt;=W$4,CEILING(((W$8-W$7)/(W$6-W$5))*(ROW()-W$5-ROW(W$17)+1)+W$7,0.25%),W$8))</f>
        <v>0.19750000000000001</v>
      </c>
      <c r="X28" s="158">
        <f t="shared" si="24"/>
        <v>0.2475</v>
      </c>
      <c r="Y28" s="158">
        <f t="shared" si="19"/>
        <v>0.20250000000000001</v>
      </c>
      <c r="Z28" s="158">
        <f t="shared" si="19"/>
        <v>0.20250000000000001</v>
      </c>
      <c r="AA28" s="158">
        <f t="shared" si="19"/>
        <v>0.2475</v>
      </c>
      <c r="AB28" s="158">
        <f t="shared" si="20"/>
        <v>0.19500000000000001</v>
      </c>
      <c r="AC28" s="158">
        <f t="shared" ref="AC28:AC37" si="25">IF($D28&lt;=AC$3,CEILING(((AC$7-AC$17)/(AC$5-1))*(ROW()-ROW(AC$17))+AC$17,0.25%),IF($D28&lt;=AC$4,CEILING(((AC$8-AC$7)/(AC$6-AC$5))*(ROW()-AC$5-ROW(AC$17)+1)+AC$7,0.25%),AC$8))</f>
        <v>8.7500000000000008E-2</v>
      </c>
      <c r="AD28" s="158">
        <f t="shared" si="22"/>
        <v>0.25750000000000001</v>
      </c>
      <c r="AE28" s="194"/>
    </row>
    <row r="29" spans="2:31" x14ac:dyDescent="0.2">
      <c r="B29" s="185">
        <v>1500000</v>
      </c>
      <c r="C29" s="212">
        <v>0</v>
      </c>
      <c r="D29" s="185">
        <v>400000</v>
      </c>
      <c r="E29" s="160">
        <f t="shared" si="23"/>
        <v>0.11</v>
      </c>
      <c r="F29" s="160">
        <f t="shared" si="23"/>
        <v>0</v>
      </c>
      <c r="G29" s="160">
        <f t="shared" si="23"/>
        <v>0.1525</v>
      </c>
      <c r="H29" s="158">
        <f t="shared" si="23"/>
        <v>0.21249999999999999</v>
      </c>
      <c r="I29" s="158">
        <f t="shared" si="23"/>
        <v>0.21249999999999999</v>
      </c>
      <c r="J29" s="158">
        <f t="shared" si="23"/>
        <v>0.23500000000000001</v>
      </c>
      <c r="K29" s="158">
        <f t="shared" si="23"/>
        <v>0.11750000000000001</v>
      </c>
      <c r="L29" s="158">
        <f t="shared" si="23"/>
        <v>0.11</v>
      </c>
      <c r="M29" s="158">
        <f t="shared" si="23"/>
        <v>0.22750000000000001</v>
      </c>
      <c r="N29" s="158">
        <f t="shared" si="23"/>
        <v>0.24249999999999999</v>
      </c>
      <c r="O29" s="158">
        <f t="shared" si="23"/>
        <v>0.21249999999999999</v>
      </c>
      <c r="P29" s="158">
        <f t="shared" si="23"/>
        <v>0.13</v>
      </c>
      <c r="Q29" s="158">
        <f t="shared" si="23"/>
        <v>0.22750000000000001</v>
      </c>
      <c r="R29" s="158">
        <f t="shared" si="23"/>
        <v>0.23500000000000001</v>
      </c>
      <c r="S29" s="158">
        <f t="shared" si="23"/>
        <v>0.26</v>
      </c>
      <c r="T29" s="158">
        <f t="shared" si="23"/>
        <v>0.26</v>
      </c>
      <c r="U29" s="158">
        <f t="shared" si="23"/>
        <v>0.28250000000000003</v>
      </c>
      <c r="V29" s="158">
        <f t="shared" si="23"/>
        <v>0.26</v>
      </c>
      <c r="W29" s="158">
        <f t="shared" si="24"/>
        <v>0.20750000000000002</v>
      </c>
      <c r="X29" s="158">
        <f t="shared" si="24"/>
        <v>0.26</v>
      </c>
      <c r="Y29" s="158">
        <f t="shared" si="19"/>
        <v>0.21249999999999999</v>
      </c>
      <c r="Z29" s="158">
        <f t="shared" si="19"/>
        <v>0.21249999999999999</v>
      </c>
      <c r="AA29" s="158">
        <f t="shared" si="19"/>
        <v>0.26</v>
      </c>
      <c r="AB29" s="158">
        <f t="shared" si="20"/>
        <v>0.20250000000000001</v>
      </c>
      <c r="AC29" s="158">
        <f t="shared" si="25"/>
        <v>0.09</v>
      </c>
      <c r="AD29" s="158">
        <f t="shared" si="22"/>
        <v>0.27</v>
      </c>
      <c r="AE29" s="194"/>
    </row>
    <row r="30" spans="2:31" x14ac:dyDescent="0.2">
      <c r="B30" s="185">
        <v>1625000</v>
      </c>
      <c r="C30" s="212">
        <v>0</v>
      </c>
      <c r="D30" s="185">
        <v>500000</v>
      </c>
      <c r="E30" s="160">
        <f t="shared" si="23"/>
        <v>0.115</v>
      </c>
      <c r="F30" s="160">
        <f t="shared" si="23"/>
        <v>0</v>
      </c>
      <c r="G30" s="160">
        <f t="shared" si="23"/>
        <v>0.16250000000000001</v>
      </c>
      <c r="H30" s="158">
        <f t="shared" si="23"/>
        <v>0.2225</v>
      </c>
      <c r="I30" s="158">
        <f t="shared" si="23"/>
        <v>0.2225</v>
      </c>
      <c r="J30" s="158">
        <f t="shared" si="23"/>
        <v>0.2475</v>
      </c>
      <c r="K30" s="158">
        <f t="shared" si="23"/>
        <v>0.1225</v>
      </c>
      <c r="L30" s="158">
        <f t="shared" si="23"/>
        <v>0.1125</v>
      </c>
      <c r="M30" s="158">
        <f t="shared" si="23"/>
        <v>0.24</v>
      </c>
      <c r="N30" s="158">
        <f t="shared" si="23"/>
        <v>0.255</v>
      </c>
      <c r="O30" s="158">
        <f t="shared" si="23"/>
        <v>0.2225</v>
      </c>
      <c r="P30" s="158">
        <f t="shared" si="23"/>
        <v>0.13250000000000001</v>
      </c>
      <c r="Q30" s="158">
        <f t="shared" si="23"/>
        <v>0.24</v>
      </c>
      <c r="R30" s="158">
        <f t="shared" si="23"/>
        <v>0.2475</v>
      </c>
      <c r="S30" s="158">
        <f t="shared" si="23"/>
        <v>0.27500000000000002</v>
      </c>
      <c r="T30" s="158">
        <f t="shared" si="23"/>
        <v>0.27500000000000002</v>
      </c>
      <c r="U30" s="158">
        <f t="shared" si="23"/>
        <v>0.29749999999999999</v>
      </c>
      <c r="V30" s="158">
        <f t="shared" si="23"/>
        <v>0.27500000000000002</v>
      </c>
      <c r="W30" s="158">
        <f t="shared" si="24"/>
        <v>0.2175</v>
      </c>
      <c r="X30" s="158">
        <f t="shared" si="24"/>
        <v>0.27500000000000002</v>
      </c>
      <c r="Y30" s="158">
        <f t="shared" si="19"/>
        <v>0.2225</v>
      </c>
      <c r="Z30" s="158">
        <f t="shared" si="19"/>
        <v>0.2225</v>
      </c>
      <c r="AA30" s="158">
        <f t="shared" si="19"/>
        <v>0.27500000000000002</v>
      </c>
      <c r="AB30" s="158">
        <f t="shared" si="20"/>
        <v>0.21249999999999999</v>
      </c>
      <c r="AC30" s="158">
        <f t="shared" si="25"/>
        <v>9.5000000000000001E-2</v>
      </c>
      <c r="AD30" s="158">
        <f t="shared" si="22"/>
        <v>0.28500000000000003</v>
      </c>
      <c r="AE30" s="194"/>
    </row>
    <row r="31" spans="2:31" x14ac:dyDescent="0.2">
      <c r="B31" s="185">
        <v>1750000</v>
      </c>
      <c r="C31" s="212">
        <v>0</v>
      </c>
      <c r="D31" s="185">
        <v>600000</v>
      </c>
      <c r="E31" s="160">
        <f t="shared" si="23"/>
        <v>0.12</v>
      </c>
      <c r="F31" s="160">
        <f t="shared" si="23"/>
        <v>0</v>
      </c>
      <c r="G31" s="160">
        <f t="shared" si="23"/>
        <v>0.17</v>
      </c>
      <c r="H31" s="158">
        <f t="shared" si="23"/>
        <v>0.23</v>
      </c>
      <c r="I31" s="158">
        <f t="shared" si="23"/>
        <v>0.23</v>
      </c>
      <c r="J31" s="158">
        <f t="shared" si="23"/>
        <v>0.25750000000000001</v>
      </c>
      <c r="K31" s="158">
        <f t="shared" si="23"/>
        <v>0.1275</v>
      </c>
      <c r="L31" s="158">
        <f t="shared" si="23"/>
        <v>0.11750000000000001</v>
      </c>
      <c r="M31" s="158">
        <f t="shared" si="23"/>
        <v>0.25</v>
      </c>
      <c r="N31" s="158">
        <f t="shared" si="23"/>
        <v>0.26750000000000002</v>
      </c>
      <c r="O31" s="158">
        <f t="shared" si="23"/>
        <v>0.23</v>
      </c>
      <c r="P31" s="158">
        <f t="shared" si="23"/>
        <v>0.13500000000000001</v>
      </c>
      <c r="Q31" s="158">
        <f t="shared" si="23"/>
        <v>0.25</v>
      </c>
      <c r="R31" s="158">
        <f t="shared" si="23"/>
        <v>0.25750000000000001</v>
      </c>
      <c r="S31" s="158">
        <f t="shared" si="23"/>
        <v>0.28750000000000003</v>
      </c>
      <c r="T31" s="158">
        <f t="shared" si="23"/>
        <v>0.28750000000000003</v>
      </c>
      <c r="U31" s="158">
        <f t="shared" si="23"/>
        <v>0.3125</v>
      </c>
      <c r="V31" s="158">
        <f t="shared" si="23"/>
        <v>0.28750000000000003</v>
      </c>
      <c r="W31" s="158">
        <f t="shared" si="24"/>
        <v>0.22500000000000001</v>
      </c>
      <c r="X31" s="158">
        <f t="shared" si="24"/>
        <v>0.28750000000000003</v>
      </c>
      <c r="Y31" s="158">
        <f t="shared" si="19"/>
        <v>0.23</v>
      </c>
      <c r="Z31" s="158">
        <f t="shared" si="19"/>
        <v>0.23</v>
      </c>
      <c r="AA31" s="158">
        <f t="shared" si="19"/>
        <v>0.28750000000000003</v>
      </c>
      <c r="AB31" s="158">
        <f t="shared" si="20"/>
        <v>0.22</v>
      </c>
      <c r="AC31" s="158">
        <f t="shared" si="25"/>
        <v>9.7500000000000003E-2</v>
      </c>
      <c r="AD31" s="158">
        <f t="shared" si="22"/>
        <v>0.3</v>
      </c>
      <c r="AE31" s="194"/>
    </row>
    <row r="32" spans="2:31" x14ac:dyDescent="0.2">
      <c r="B32" s="185">
        <v>1875000</v>
      </c>
      <c r="C32" s="212">
        <v>0</v>
      </c>
      <c r="D32" s="185">
        <v>700000</v>
      </c>
      <c r="E32" s="160">
        <f t="shared" si="23"/>
        <v>0.125</v>
      </c>
      <c r="F32" s="160">
        <f t="shared" si="23"/>
        <v>0</v>
      </c>
      <c r="G32" s="160">
        <f t="shared" si="23"/>
        <v>0.17749999999999999</v>
      </c>
      <c r="H32" s="158">
        <f t="shared" si="23"/>
        <v>0.24</v>
      </c>
      <c r="I32" s="158">
        <f t="shared" si="23"/>
        <v>0.24</v>
      </c>
      <c r="J32" s="158">
        <f t="shared" si="23"/>
        <v>0.27</v>
      </c>
      <c r="K32" s="158">
        <f t="shared" si="23"/>
        <v>0.13250000000000001</v>
      </c>
      <c r="L32" s="158">
        <f t="shared" si="23"/>
        <v>0.1225</v>
      </c>
      <c r="M32" s="158">
        <f t="shared" si="23"/>
        <v>0.26</v>
      </c>
      <c r="N32" s="158">
        <f t="shared" si="23"/>
        <v>0.27750000000000002</v>
      </c>
      <c r="O32" s="158">
        <f t="shared" si="23"/>
        <v>0.24</v>
      </c>
      <c r="P32" s="158">
        <f t="shared" si="23"/>
        <v>0.13750000000000001</v>
      </c>
      <c r="Q32" s="158">
        <f t="shared" si="23"/>
        <v>0.26</v>
      </c>
      <c r="R32" s="158">
        <f t="shared" si="23"/>
        <v>0.27</v>
      </c>
      <c r="S32" s="158">
        <f t="shared" si="23"/>
        <v>0.3</v>
      </c>
      <c r="T32" s="158">
        <f t="shared" si="23"/>
        <v>0.3</v>
      </c>
      <c r="U32" s="158">
        <f t="shared" si="23"/>
        <v>0.33</v>
      </c>
      <c r="V32" s="158">
        <f t="shared" si="23"/>
        <v>0.3</v>
      </c>
      <c r="W32" s="158">
        <f t="shared" si="24"/>
        <v>0.23500000000000001</v>
      </c>
      <c r="X32" s="158">
        <f t="shared" si="24"/>
        <v>0.3</v>
      </c>
      <c r="Y32" s="158">
        <f t="shared" si="19"/>
        <v>0.24</v>
      </c>
      <c r="Z32" s="158">
        <f t="shared" si="19"/>
        <v>0.24</v>
      </c>
      <c r="AA32" s="158">
        <f t="shared" si="19"/>
        <v>0.3</v>
      </c>
      <c r="AB32" s="158">
        <f t="shared" si="20"/>
        <v>0.22750000000000001</v>
      </c>
      <c r="AC32" s="158">
        <f t="shared" si="25"/>
        <v>0.1</v>
      </c>
      <c r="AD32" s="158">
        <f t="shared" si="22"/>
        <v>0.3125</v>
      </c>
      <c r="AE32" s="194"/>
    </row>
    <row r="33" spans="2:31" x14ac:dyDescent="0.2">
      <c r="B33" s="185">
        <v>2000000</v>
      </c>
      <c r="C33" s="212">
        <v>0</v>
      </c>
      <c r="D33" s="185">
        <v>800000</v>
      </c>
      <c r="E33" s="160">
        <f t="shared" si="23"/>
        <v>0.13</v>
      </c>
      <c r="F33" s="160">
        <f t="shared" si="23"/>
        <v>0</v>
      </c>
      <c r="G33" s="160">
        <f t="shared" si="23"/>
        <v>0.1875</v>
      </c>
      <c r="H33" s="158">
        <f t="shared" si="23"/>
        <v>0.25</v>
      </c>
      <c r="I33" s="158">
        <f t="shared" si="23"/>
        <v>0.25</v>
      </c>
      <c r="J33" s="158">
        <f t="shared" si="23"/>
        <v>0.28000000000000003</v>
      </c>
      <c r="K33" s="158">
        <f t="shared" si="23"/>
        <v>0.13750000000000001</v>
      </c>
      <c r="L33" s="158">
        <f t="shared" si="23"/>
        <v>0.1275</v>
      </c>
      <c r="M33" s="158">
        <f t="shared" si="23"/>
        <v>0.27</v>
      </c>
      <c r="N33" s="158">
        <f t="shared" si="23"/>
        <v>0.28999999999999998</v>
      </c>
      <c r="O33" s="158">
        <f t="shared" si="23"/>
        <v>0.25</v>
      </c>
      <c r="P33" s="158">
        <f t="shared" si="23"/>
        <v>0.14000000000000001</v>
      </c>
      <c r="Q33" s="158">
        <f t="shared" si="23"/>
        <v>0.27</v>
      </c>
      <c r="R33" s="158">
        <f t="shared" si="23"/>
        <v>0.28000000000000003</v>
      </c>
      <c r="S33" s="158">
        <f t="shared" si="23"/>
        <v>0.3125</v>
      </c>
      <c r="T33" s="158">
        <f t="shared" si="23"/>
        <v>0.3125</v>
      </c>
      <c r="U33" s="158">
        <f t="shared" si="23"/>
        <v>0.34750000000000003</v>
      </c>
      <c r="V33" s="158">
        <f t="shared" si="23"/>
        <v>0.3125</v>
      </c>
      <c r="W33" s="158">
        <f t="shared" si="24"/>
        <v>0.24249999999999999</v>
      </c>
      <c r="X33" s="158">
        <f t="shared" si="24"/>
        <v>0.3125</v>
      </c>
      <c r="Y33" s="158">
        <f t="shared" si="19"/>
        <v>0.25</v>
      </c>
      <c r="Z33" s="158">
        <f t="shared" si="19"/>
        <v>0.25</v>
      </c>
      <c r="AA33" s="158">
        <f t="shared" si="19"/>
        <v>0.3125</v>
      </c>
      <c r="AB33" s="158">
        <f t="shared" si="20"/>
        <v>0.23750000000000002</v>
      </c>
      <c r="AC33" s="158">
        <f t="shared" si="25"/>
        <v>0.105</v>
      </c>
      <c r="AD33" s="158">
        <f t="shared" si="22"/>
        <v>0.33</v>
      </c>
      <c r="AE33" s="194"/>
    </row>
    <row r="34" spans="2:31" x14ac:dyDescent="0.2">
      <c r="B34" s="185">
        <v>2125000</v>
      </c>
      <c r="C34" s="212">
        <v>0</v>
      </c>
      <c r="D34" s="185">
        <v>900000</v>
      </c>
      <c r="E34" s="160">
        <f t="shared" si="23"/>
        <v>0.13500000000000001</v>
      </c>
      <c r="F34" s="160">
        <f t="shared" si="23"/>
        <v>0</v>
      </c>
      <c r="G34" s="160">
        <f t="shared" si="23"/>
        <v>0.19500000000000001</v>
      </c>
      <c r="H34" s="158">
        <f t="shared" si="23"/>
        <v>0.25750000000000001</v>
      </c>
      <c r="I34" s="158">
        <f t="shared" si="23"/>
        <v>0.25750000000000001</v>
      </c>
      <c r="J34" s="158">
        <f t="shared" si="23"/>
        <v>0.29249999999999998</v>
      </c>
      <c r="K34" s="158">
        <f t="shared" si="23"/>
        <v>0.14250000000000002</v>
      </c>
      <c r="L34" s="158">
        <f t="shared" si="23"/>
        <v>0.13250000000000001</v>
      </c>
      <c r="M34" s="158">
        <f t="shared" si="23"/>
        <v>0.28250000000000003</v>
      </c>
      <c r="N34" s="158">
        <f t="shared" si="23"/>
        <v>0.30249999999999999</v>
      </c>
      <c r="O34" s="158">
        <f t="shared" si="23"/>
        <v>0.25750000000000001</v>
      </c>
      <c r="P34" s="158">
        <f t="shared" si="23"/>
        <v>0.14250000000000002</v>
      </c>
      <c r="Q34" s="158">
        <f t="shared" si="23"/>
        <v>0.28250000000000003</v>
      </c>
      <c r="R34" s="158">
        <f t="shared" si="23"/>
        <v>0.29249999999999998</v>
      </c>
      <c r="S34" s="158">
        <f t="shared" si="23"/>
        <v>0.33</v>
      </c>
      <c r="T34" s="158">
        <f t="shared" si="23"/>
        <v>0.33</v>
      </c>
      <c r="U34" s="158">
        <f t="shared" si="23"/>
        <v>0.36499999999999999</v>
      </c>
      <c r="V34" s="158">
        <f t="shared" si="23"/>
        <v>0.33</v>
      </c>
      <c r="W34" s="158">
        <f t="shared" si="24"/>
        <v>0.2525</v>
      </c>
      <c r="X34" s="158">
        <f t="shared" si="24"/>
        <v>0.33</v>
      </c>
      <c r="Y34" s="158">
        <f t="shared" si="19"/>
        <v>0.25750000000000001</v>
      </c>
      <c r="Z34" s="158">
        <f t="shared" si="19"/>
        <v>0.25750000000000001</v>
      </c>
      <c r="AA34" s="158">
        <f t="shared" si="19"/>
        <v>0.33</v>
      </c>
      <c r="AB34" s="158">
        <f t="shared" si="20"/>
        <v>0.245</v>
      </c>
      <c r="AC34" s="158">
        <f t="shared" si="25"/>
        <v>0.1075</v>
      </c>
      <c r="AD34" s="158">
        <f t="shared" si="22"/>
        <v>0.34750000000000003</v>
      </c>
      <c r="AE34" s="194"/>
    </row>
    <row r="35" spans="2:31" x14ac:dyDescent="0.2">
      <c r="B35" s="185">
        <v>2250000</v>
      </c>
      <c r="C35" s="212">
        <v>0</v>
      </c>
      <c r="D35" s="185">
        <v>1000000</v>
      </c>
      <c r="E35" s="160">
        <f t="shared" si="23"/>
        <v>0.14000000000000001</v>
      </c>
      <c r="F35" s="160">
        <f t="shared" si="23"/>
        <v>0</v>
      </c>
      <c r="G35" s="160">
        <f t="shared" si="23"/>
        <v>0.20250000000000001</v>
      </c>
      <c r="H35" s="158">
        <f t="shared" si="23"/>
        <v>0.26750000000000002</v>
      </c>
      <c r="I35" s="158">
        <f t="shared" si="23"/>
        <v>0.26750000000000002</v>
      </c>
      <c r="J35" s="158">
        <f t="shared" si="23"/>
        <v>0.30249999999999999</v>
      </c>
      <c r="K35" s="158">
        <f t="shared" si="23"/>
        <v>0.15</v>
      </c>
      <c r="L35" s="158">
        <f t="shared" si="23"/>
        <v>0.13750000000000001</v>
      </c>
      <c r="M35" s="158">
        <f t="shared" si="23"/>
        <v>0.29249999999999998</v>
      </c>
      <c r="N35" s="158">
        <f t="shared" si="23"/>
        <v>0.3125</v>
      </c>
      <c r="O35" s="158">
        <f t="shared" si="23"/>
        <v>0.26750000000000002</v>
      </c>
      <c r="P35" s="158">
        <f t="shared" si="23"/>
        <v>0.14499999999999999</v>
      </c>
      <c r="Q35" s="158">
        <f t="shared" si="23"/>
        <v>0.29249999999999998</v>
      </c>
      <c r="R35" s="158">
        <f t="shared" si="23"/>
        <v>0.30249999999999999</v>
      </c>
      <c r="S35" s="158">
        <f t="shared" si="23"/>
        <v>0.34750000000000003</v>
      </c>
      <c r="T35" s="158">
        <f t="shared" si="23"/>
        <v>0.34750000000000003</v>
      </c>
      <c r="U35" s="158">
        <f t="shared" si="23"/>
        <v>0.38250000000000001</v>
      </c>
      <c r="V35" s="158">
        <f t="shared" si="23"/>
        <v>0.34750000000000003</v>
      </c>
      <c r="W35" s="158">
        <f t="shared" si="24"/>
        <v>0.26</v>
      </c>
      <c r="X35" s="158">
        <f t="shared" si="24"/>
        <v>0.34750000000000003</v>
      </c>
      <c r="Y35" s="158">
        <f t="shared" si="19"/>
        <v>0.26750000000000002</v>
      </c>
      <c r="Z35" s="158">
        <f t="shared" si="19"/>
        <v>0.26750000000000002</v>
      </c>
      <c r="AA35" s="158">
        <f t="shared" si="19"/>
        <v>0.34750000000000003</v>
      </c>
      <c r="AB35" s="158">
        <f t="shared" si="20"/>
        <v>0.255</v>
      </c>
      <c r="AC35" s="158">
        <f t="shared" si="25"/>
        <v>0.11</v>
      </c>
      <c r="AD35" s="158">
        <f t="shared" si="22"/>
        <v>0.36499999999999999</v>
      </c>
      <c r="AE35" s="194"/>
    </row>
    <row r="36" spans="2:31" x14ac:dyDescent="0.2">
      <c r="B36" s="185">
        <v>2375000</v>
      </c>
      <c r="C36" s="212">
        <v>0</v>
      </c>
      <c r="D36" s="185">
        <v>1200000</v>
      </c>
      <c r="E36" s="160">
        <f t="shared" si="23"/>
        <v>0.14499999999999999</v>
      </c>
      <c r="F36" s="160">
        <f t="shared" si="23"/>
        <v>0</v>
      </c>
      <c r="G36" s="160">
        <f t="shared" si="23"/>
        <v>0.21249999999999999</v>
      </c>
      <c r="H36" s="158">
        <f t="shared" si="23"/>
        <v>0.27750000000000002</v>
      </c>
      <c r="I36" s="158">
        <f t="shared" si="23"/>
        <v>0.27750000000000002</v>
      </c>
      <c r="J36" s="158">
        <f t="shared" si="23"/>
        <v>0.3125</v>
      </c>
      <c r="K36" s="158">
        <f t="shared" si="23"/>
        <v>0.155</v>
      </c>
      <c r="L36" s="158">
        <f t="shared" si="23"/>
        <v>0.14250000000000002</v>
      </c>
      <c r="M36" s="158">
        <f t="shared" si="23"/>
        <v>0.30249999999999999</v>
      </c>
      <c r="N36" s="158">
        <f t="shared" si="23"/>
        <v>0.33250000000000002</v>
      </c>
      <c r="O36" s="158">
        <f t="shared" si="23"/>
        <v>0.27750000000000002</v>
      </c>
      <c r="P36" s="158">
        <f t="shared" si="23"/>
        <v>0.14749999999999999</v>
      </c>
      <c r="Q36" s="158">
        <f t="shared" si="23"/>
        <v>0.30249999999999999</v>
      </c>
      <c r="R36" s="158">
        <f t="shared" si="23"/>
        <v>0.3125</v>
      </c>
      <c r="S36" s="158">
        <f t="shared" si="23"/>
        <v>0.36499999999999999</v>
      </c>
      <c r="T36" s="158">
        <f t="shared" si="23"/>
        <v>0.36499999999999999</v>
      </c>
      <c r="U36" s="158">
        <f t="shared" si="23"/>
        <v>0.4</v>
      </c>
      <c r="V36" s="158">
        <f t="shared" si="23"/>
        <v>0.36499999999999999</v>
      </c>
      <c r="W36" s="158">
        <f t="shared" si="24"/>
        <v>0.27</v>
      </c>
      <c r="X36" s="158">
        <f t="shared" si="24"/>
        <v>0.36499999999999999</v>
      </c>
      <c r="Y36" s="158">
        <f t="shared" si="19"/>
        <v>0.27750000000000002</v>
      </c>
      <c r="Z36" s="158">
        <f t="shared" si="19"/>
        <v>0.27750000000000002</v>
      </c>
      <c r="AA36" s="158">
        <f t="shared" si="19"/>
        <v>0.36499999999999999</v>
      </c>
      <c r="AB36" s="158">
        <f t="shared" si="20"/>
        <v>0.26250000000000001</v>
      </c>
      <c r="AC36" s="158">
        <f t="shared" si="25"/>
        <v>0.115</v>
      </c>
      <c r="AD36" s="158">
        <f t="shared" si="22"/>
        <v>0.38250000000000001</v>
      </c>
      <c r="AE36" s="194"/>
    </row>
    <row r="37" spans="2:31" x14ac:dyDescent="0.2">
      <c r="B37" s="185">
        <v>2500000</v>
      </c>
      <c r="C37" s="212">
        <v>0</v>
      </c>
      <c r="D37" s="185">
        <v>1400000</v>
      </c>
      <c r="E37" s="160">
        <f t="shared" si="23"/>
        <v>0.15</v>
      </c>
      <c r="F37" s="160">
        <f t="shared" si="23"/>
        <v>0</v>
      </c>
      <c r="G37" s="160">
        <f t="shared" si="23"/>
        <v>0.22</v>
      </c>
      <c r="H37" s="158">
        <f t="shared" si="23"/>
        <v>0.28500000000000003</v>
      </c>
      <c r="I37" s="158">
        <f t="shared" si="23"/>
        <v>0.28500000000000003</v>
      </c>
      <c r="J37" s="158">
        <f t="shared" si="23"/>
        <v>0.33250000000000002</v>
      </c>
      <c r="K37" s="158">
        <f t="shared" si="23"/>
        <v>0.16</v>
      </c>
      <c r="L37" s="158">
        <f t="shared" si="23"/>
        <v>0.14749999999999999</v>
      </c>
      <c r="M37" s="158">
        <f t="shared" si="23"/>
        <v>0.3125</v>
      </c>
      <c r="N37" s="158">
        <f t="shared" si="23"/>
        <v>0.35000000000000003</v>
      </c>
      <c r="O37" s="158">
        <f t="shared" si="23"/>
        <v>0.28500000000000003</v>
      </c>
      <c r="P37" s="158">
        <f t="shared" si="23"/>
        <v>0.15</v>
      </c>
      <c r="Q37" s="158">
        <f t="shared" si="23"/>
        <v>0.3125</v>
      </c>
      <c r="R37" s="158">
        <f t="shared" si="23"/>
        <v>0.33250000000000002</v>
      </c>
      <c r="S37" s="158">
        <f t="shared" si="23"/>
        <v>0.38250000000000001</v>
      </c>
      <c r="T37" s="158">
        <f t="shared" si="23"/>
        <v>0.38250000000000001</v>
      </c>
      <c r="U37" s="158">
        <f t="shared" si="23"/>
        <v>0.41500000000000004</v>
      </c>
      <c r="V37" s="158">
        <f t="shared" si="23"/>
        <v>0.38250000000000001</v>
      </c>
      <c r="W37" s="158">
        <f t="shared" si="24"/>
        <v>0.27750000000000002</v>
      </c>
      <c r="X37" s="158">
        <f t="shared" si="24"/>
        <v>0.38250000000000001</v>
      </c>
      <c r="Y37" s="158">
        <f t="shared" si="19"/>
        <v>0.28500000000000003</v>
      </c>
      <c r="Z37" s="158">
        <f t="shared" si="19"/>
        <v>0.28500000000000003</v>
      </c>
      <c r="AA37" s="158">
        <f t="shared" si="19"/>
        <v>0.38250000000000001</v>
      </c>
      <c r="AB37" s="158">
        <f t="shared" si="20"/>
        <v>0.27</v>
      </c>
      <c r="AC37" s="158">
        <f t="shared" si="25"/>
        <v>0.11750000000000001</v>
      </c>
      <c r="AD37" s="158">
        <f t="shared" si="22"/>
        <v>0.4</v>
      </c>
      <c r="AE37" s="194"/>
    </row>
    <row r="38" spans="2:31" x14ac:dyDescent="0.2">
      <c r="B38" s="185">
        <v>2625000</v>
      </c>
      <c r="C38" s="212">
        <v>0</v>
      </c>
      <c r="D38" s="185">
        <v>1600000</v>
      </c>
      <c r="E38" s="160">
        <f t="shared" ref="E38:V47" si="26">IF($D38&lt;=E$3,CEILING(((E$7-E$17)/(E$5-1))*(ROW()-ROW(E$17))+E$17,0.25%),IF($D38&lt;=E$4,CEILING(((E$8-E$7)/(E$6-E$5))*(ROW()-E$5-ROW(E$17)+1)+E$7,0.25%),E$8))</f>
        <v>0.155</v>
      </c>
      <c r="F38" s="160">
        <f t="shared" si="26"/>
        <v>0</v>
      </c>
      <c r="G38" s="160">
        <f t="shared" si="26"/>
        <v>0.23</v>
      </c>
      <c r="H38" s="158">
        <f t="shared" si="26"/>
        <v>0.29499999999999998</v>
      </c>
      <c r="I38" s="158">
        <f t="shared" si="26"/>
        <v>0.29499999999999998</v>
      </c>
      <c r="J38" s="158">
        <f t="shared" si="26"/>
        <v>0.35000000000000003</v>
      </c>
      <c r="K38" s="158">
        <f t="shared" si="26"/>
        <v>0.16500000000000001</v>
      </c>
      <c r="L38" s="158">
        <f t="shared" si="26"/>
        <v>0.1525</v>
      </c>
      <c r="M38" s="158">
        <f t="shared" si="26"/>
        <v>0.33250000000000002</v>
      </c>
      <c r="N38" s="158">
        <f t="shared" si="26"/>
        <v>0.37</v>
      </c>
      <c r="O38" s="158">
        <f t="shared" si="26"/>
        <v>0.29499999999999998</v>
      </c>
      <c r="P38" s="158">
        <f t="shared" si="26"/>
        <v>0.1525</v>
      </c>
      <c r="Q38" s="158">
        <f t="shared" si="26"/>
        <v>0.33250000000000002</v>
      </c>
      <c r="R38" s="158">
        <f t="shared" si="26"/>
        <v>0.35000000000000003</v>
      </c>
      <c r="S38" s="158">
        <f t="shared" si="26"/>
        <v>0.4</v>
      </c>
      <c r="T38" s="158">
        <f t="shared" si="26"/>
        <v>0.4</v>
      </c>
      <c r="U38" s="158">
        <f t="shared" si="26"/>
        <v>0.4325</v>
      </c>
      <c r="V38" s="158">
        <f t="shared" si="26"/>
        <v>0.4</v>
      </c>
      <c r="W38" s="158">
        <f t="shared" ref="W38:X47" si="27">IF($D38&lt;=W$3,CEILING(((W$7-W$17)/(W$5-1))*(ROW()-ROW(W$17))+W$17,0.25%),IF($D38&lt;=W$4,CEILING(((W$8-W$7)/(W$6-W$5))*(ROW()-W$5-ROW(W$17)+1)+W$7,0.25%),W$8))</f>
        <v>0.28750000000000003</v>
      </c>
      <c r="X38" s="158">
        <f t="shared" si="27"/>
        <v>0.4</v>
      </c>
      <c r="Y38" s="158">
        <f t="shared" ref="Y38:AA57" si="28">IF($D38&lt;=Y$3,CEILING(((Y$7-Y$17)/(Y$5-1))*(ROW()-ROW(Y$17))+Y$17,0.25%),IF($D38&lt;=Y$4,CEILING(((Y$8-Y$7)/(Y$6-Y$5))*(ROW()-Y$5-ROW(Y$17)+1)+Y$7,0.25%),Y$8))</f>
        <v>0.29499999999999998</v>
      </c>
      <c r="Z38" s="158">
        <f t="shared" si="28"/>
        <v>0.29499999999999998</v>
      </c>
      <c r="AA38" s="158">
        <f t="shared" si="28"/>
        <v>0.4</v>
      </c>
      <c r="AB38" s="158">
        <f t="shared" si="20"/>
        <v>0.28000000000000003</v>
      </c>
      <c r="AC38" s="158">
        <f t="shared" ref="AC38:AC47" si="29">IF($D38&lt;=AC$3,CEILING(((AC$7-AC$17)/(AC$5-1))*(ROW()-ROW(AC$17))+AC$17,0.25%),IF($D38&lt;=AC$4,CEILING(((AC$8-AC$7)/(AC$6-AC$5))*(ROW()-AC$5-ROW(AC$17)+1)+AC$7,0.25%),AC$8))</f>
        <v>0.12</v>
      </c>
      <c r="AD38" s="158">
        <f t="shared" si="22"/>
        <v>0.41500000000000004</v>
      </c>
      <c r="AE38" s="194"/>
    </row>
    <row r="39" spans="2:31" x14ac:dyDescent="0.2">
      <c r="B39" s="185">
        <v>2750000</v>
      </c>
      <c r="C39" s="212">
        <v>0</v>
      </c>
      <c r="D39" s="185">
        <v>1800000</v>
      </c>
      <c r="E39" s="160">
        <f t="shared" si="26"/>
        <v>0.16</v>
      </c>
      <c r="F39" s="160">
        <f t="shared" si="26"/>
        <v>0</v>
      </c>
      <c r="G39" s="160">
        <f t="shared" si="26"/>
        <v>0.23750000000000002</v>
      </c>
      <c r="H39" s="158">
        <f t="shared" si="26"/>
        <v>0.30499999999999999</v>
      </c>
      <c r="I39" s="158">
        <f t="shared" si="26"/>
        <v>0.30499999999999999</v>
      </c>
      <c r="J39" s="158">
        <f t="shared" si="26"/>
        <v>0.37</v>
      </c>
      <c r="K39" s="158">
        <f t="shared" si="26"/>
        <v>0.17</v>
      </c>
      <c r="L39" s="158">
        <f t="shared" si="26"/>
        <v>0.1575</v>
      </c>
      <c r="M39" s="158">
        <f t="shared" si="26"/>
        <v>0.35000000000000003</v>
      </c>
      <c r="N39" s="158">
        <f t="shared" si="26"/>
        <v>0.38750000000000001</v>
      </c>
      <c r="O39" s="158">
        <f t="shared" si="26"/>
        <v>0.30499999999999999</v>
      </c>
      <c r="P39" s="158">
        <f t="shared" si="26"/>
        <v>0.155</v>
      </c>
      <c r="Q39" s="158">
        <f t="shared" si="26"/>
        <v>0.35000000000000003</v>
      </c>
      <c r="R39" s="158">
        <f t="shared" si="26"/>
        <v>0.37</v>
      </c>
      <c r="S39" s="158">
        <f t="shared" si="26"/>
        <v>0.41500000000000004</v>
      </c>
      <c r="T39" s="158">
        <f t="shared" si="26"/>
        <v>0.41500000000000004</v>
      </c>
      <c r="U39" s="158">
        <f t="shared" si="26"/>
        <v>0.45</v>
      </c>
      <c r="V39" s="158">
        <f t="shared" si="26"/>
        <v>0.41500000000000004</v>
      </c>
      <c r="W39" s="158">
        <f t="shared" si="27"/>
        <v>0.29499999999999998</v>
      </c>
      <c r="X39" s="158">
        <f t="shared" si="27"/>
        <v>0.41500000000000004</v>
      </c>
      <c r="Y39" s="158">
        <f t="shared" si="28"/>
        <v>0.30499999999999999</v>
      </c>
      <c r="Z39" s="158">
        <f t="shared" si="28"/>
        <v>0.30499999999999999</v>
      </c>
      <c r="AA39" s="158">
        <f t="shared" si="28"/>
        <v>0.41500000000000004</v>
      </c>
      <c r="AB39" s="158">
        <f t="shared" si="20"/>
        <v>0.28750000000000003</v>
      </c>
      <c r="AC39" s="158">
        <f t="shared" si="29"/>
        <v>0.125</v>
      </c>
      <c r="AD39" s="158">
        <f t="shared" si="22"/>
        <v>0.4325</v>
      </c>
      <c r="AE39" s="194"/>
    </row>
    <row r="40" spans="2:31" x14ac:dyDescent="0.2">
      <c r="B40" s="185">
        <v>2875000</v>
      </c>
      <c r="C40" s="212">
        <v>0</v>
      </c>
      <c r="D40" s="185">
        <v>2000000</v>
      </c>
      <c r="E40" s="160">
        <f t="shared" si="26"/>
        <v>0.16500000000000001</v>
      </c>
      <c r="F40" s="160">
        <f t="shared" si="26"/>
        <v>0</v>
      </c>
      <c r="G40" s="160">
        <f t="shared" si="26"/>
        <v>0.245</v>
      </c>
      <c r="H40" s="158">
        <f t="shared" si="26"/>
        <v>0.3125</v>
      </c>
      <c r="I40" s="158">
        <f t="shared" si="26"/>
        <v>0.3125</v>
      </c>
      <c r="J40" s="158">
        <f t="shared" si="26"/>
        <v>0.38750000000000001</v>
      </c>
      <c r="K40" s="158">
        <f t="shared" si="26"/>
        <v>0.17500000000000002</v>
      </c>
      <c r="L40" s="158">
        <f t="shared" si="26"/>
        <v>0.16250000000000001</v>
      </c>
      <c r="M40" s="158">
        <f t="shared" si="26"/>
        <v>0.37</v>
      </c>
      <c r="N40" s="158">
        <f t="shared" si="26"/>
        <v>0.40750000000000003</v>
      </c>
      <c r="O40" s="158">
        <f t="shared" si="26"/>
        <v>0.3125</v>
      </c>
      <c r="P40" s="158">
        <f t="shared" si="26"/>
        <v>0.1575</v>
      </c>
      <c r="Q40" s="158">
        <f t="shared" si="26"/>
        <v>0.37</v>
      </c>
      <c r="R40" s="158">
        <f t="shared" si="26"/>
        <v>0.38750000000000001</v>
      </c>
      <c r="S40" s="158">
        <f t="shared" si="26"/>
        <v>0.4325</v>
      </c>
      <c r="T40" s="158">
        <f t="shared" si="26"/>
        <v>0.4325</v>
      </c>
      <c r="U40" s="158">
        <f t="shared" si="26"/>
        <v>0.46750000000000003</v>
      </c>
      <c r="V40" s="158">
        <f t="shared" si="26"/>
        <v>0.4325</v>
      </c>
      <c r="W40" s="158">
        <f t="shared" si="27"/>
        <v>0.30499999999999999</v>
      </c>
      <c r="X40" s="158">
        <f t="shared" si="27"/>
        <v>0.4325</v>
      </c>
      <c r="Y40" s="158">
        <f t="shared" si="28"/>
        <v>0.3125</v>
      </c>
      <c r="Z40" s="158">
        <f t="shared" si="28"/>
        <v>0.3125</v>
      </c>
      <c r="AA40" s="158">
        <f t="shared" si="28"/>
        <v>0.4325</v>
      </c>
      <c r="AB40" s="158">
        <f t="shared" si="20"/>
        <v>0.29749999999999999</v>
      </c>
      <c r="AC40" s="158">
        <f t="shared" si="29"/>
        <v>0.1275</v>
      </c>
      <c r="AD40" s="158">
        <f t="shared" si="22"/>
        <v>0.45</v>
      </c>
      <c r="AE40" s="194"/>
    </row>
    <row r="41" spans="2:31" x14ac:dyDescent="0.2">
      <c r="B41" s="185">
        <v>3000000</v>
      </c>
      <c r="C41" s="212">
        <v>0</v>
      </c>
      <c r="D41" s="185">
        <v>2250000</v>
      </c>
      <c r="E41" s="160">
        <f t="shared" si="26"/>
        <v>0.17</v>
      </c>
      <c r="F41" s="160">
        <f t="shared" si="26"/>
        <v>0</v>
      </c>
      <c r="G41" s="160">
        <f t="shared" si="26"/>
        <v>0.255</v>
      </c>
      <c r="H41" s="158">
        <f t="shared" si="26"/>
        <v>0.33500000000000002</v>
      </c>
      <c r="I41" s="158">
        <f t="shared" si="26"/>
        <v>0.33500000000000002</v>
      </c>
      <c r="J41" s="158">
        <f t="shared" si="26"/>
        <v>0.40750000000000003</v>
      </c>
      <c r="K41" s="158">
        <f t="shared" si="26"/>
        <v>0.2</v>
      </c>
      <c r="L41" s="158">
        <f t="shared" si="26"/>
        <v>0.16750000000000001</v>
      </c>
      <c r="M41" s="158">
        <f t="shared" si="26"/>
        <v>0.38750000000000001</v>
      </c>
      <c r="N41" s="158">
        <f t="shared" si="26"/>
        <v>0.42499999999999999</v>
      </c>
      <c r="O41" s="158">
        <f t="shared" si="26"/>
        <v>0.33500000000000002</v>
      </c>
      <c r="P41" s="158">
        <f t="shared" si="26"/>
        <v>0.16</v>
      </c>
      <c r="Q41" s="158">
        <f t="shared" si="26"/>
        <v>0.38750000000000001</v>
      </c>
      <c r="R41" s="158">
        <f t="shared" si="26"/>
        <v>0.40750000000000003</v>
      </c>
      <c r="S41" s="158">
        <f t="shared" si="26"/>
        <v>0.45</v>
      </c>
      <c r="T41" s="158">
        <f t="shared" si="26"/>
        <v>0.45</v>
      </c>
      <c r="U41" s="158">
        <f t="shared" si="26"/>
        <v>0.48499999999999999</v>
      </c>
      <c r="V41" s="158">
        <f t="shared" si="26"/>
        <v>0.45</v>
      </c>
      <c r="W41" s="158">
        <f t="shared" si="27"/>
        <v>0.3125</v>
      </c>
      <c r="X41" s="158">
        <f t="shared" si="27"/>
        <v>0.45</v>
      </c>
      <c r="Y41" s="158">
        <f t="shared" si="28"/>
        <v>0.33500000000000002</v>
      </c>
      <c r="Z41" s="158">
        <f t="shared" si="28"/>
        <v>0.33500000000000002</v>
      </c>
      <c r="AA41" s="158">
        <f t="shared" si="28"/>
        <v>0.45</v>
      </c>
      <c r="AB41" s="158">
        <f t="shared" si="20"/>
        <v>0.30499999999999999</v>
      </c>
      <c r="AC41" s="158">
        <f t="shared" si="29"/>
        <v>0.13</v>
      </c>
      <c r="AD41" s="158">
        <f t="shared" si="22"/>
        <v>0.46750000000000003</v>
      </c>
      <c r="AE41" s="194"/>
    </row>
    <row r="42" spans="2:31" x14ac:dyDescent="0.2">
      <c r="B42" s="185">
        <v>3500000</v>
      </c>
      <c r="C42" s="212">
        <v>0</v>
      </c>
      <c r="D42" s="185">
        <v>2500000</v>
      </c>
      <c r="E42" s="160">
        <f t="shared" si="26"/>
        <v>0.17500000000000002</v>
      </c>
      <c r="F42" s="160">
        <f t="shared" si="26"/>
        <v>0</v>
      </c>
      <c r="G42" s="160">
        <f t="shared" si="26"/>
        <v>0.26250000000000001</v>
      </c>
      <c r="H42" s="158">
        <f t="shared" si="26"/>
        <v>0.35499999999999998</v>
      </c>
      <c r="I42" s="158">
        <f t="shared" si="26"/>
        <v>0.35499999999999998</v>
      </c>
      <c r="J42" s="158">
        <f t="shared" si="26"/>
        <v>0.42499999999999999</v>
      </c>
      <c r="K42" s="158">
        <f t="shared" si="26"/>
        <v>0.22500000000000001</v>
      </c>
      <c r="L42" s="158">
        <f t="shared" si="26"/>
        <v>0.17250000000000001</v>
      </c>
      <c r="M42" s="158">
        <f t="shared" si="26"/>
        <v>0.40750000000000003</v>
      </c>
      <c r="N42" s="158">
        <f t="shared" si="26"/>
        <v>0.44500000000000001</v>
      </c>
      <c r="O42" s="158">
        <f t="shared" si="26"/>
        <v>0.35499999999999998</v>
      </c>
      <c r="P42" s="158">
        <f t="shared" si="26"/>
        <v>0.16250000000000001</v>
      </c>
      <c r="Q42" s="158">
        <f t="shared" si="26"/>
        <v>0.40750000000000003</v>
      </c>
      <c r="R42" s="158">
        <f t="shared" si="26"/>
        <v>0.42499999999999999</v>
      </c>
      <c r="S42" s="158">
        <f t="shared" si="26"/>
        <v>0.46750000000000003</v>
      </c>
      <c r="T42" s="158">
        <f t="shared" si="26"/>
        <v>0.46750000000000003</v>
      </c>
      <c r="U42" s="158">
        <f t="shared" si="26"/>
        <v>0.5</v>
      </c>
      <c r="V42" s="158">
        <f t="shared" si="26"/>
        <v>0.46750000000000003</v>
      </c>
      <c r="W42" s="158">
        <f t="shared" si="27"/>
        <v>0.33500000000000002</v>
      </c>
      <c r="X42" s="158">
        <f t="shared" si="27"/>
        <v>0.46750000000000003</v>
      </c>
      <c r="Y42" s="158">
        <f t="shared" si="28"/>
        <v>0.35499999999999998</v>
      </c>
      <c r="Z42" s="158">
        <f t="shared" si="28"/>
        <v>0.35499999999999998</v>
      </c>
      <c r="AA42" s="158">
        <f t="shared" si="28"/>
        <v>0.46750000000000003</v>
      </c>
      <c r="AB42" s="158">
        <f t="shared" si="20"/>
        <v>0.3125</v>
      </c>
      <c r="AC42" s="158">
        <f t="shared" si="29"/>
        <v>0.13500000000000001</v>
      </c>
      <c r="AD42" s="158">
        <f t="shared" si="22"/>
        <v>0.48499999999999999</v>
      </c>
      <c r="AE42" s="194"/>
    </row>
    <row r="43" spans="2:31" x14ac:dyDescent="0.2">
      <c r="B43" s="185">
        <v>4000000</v>
      </c>
      <c r="C43" s="212">
        <v>0</v>
      </c>
      <c r="D43" s="185">
        <v>3000000</v>
      </c>
      <c r="E43" s="160">
        <f t="shared" si="26"/>
        <v>0.2</v>
      </c>
      <c r="F43" s="160">
        <f t="shared" si="26"/>
        <v>0</v>
      </c>
      <c r="G43" s="160">
        <f t="shared" si="26"/>
        <v>0.27250000000000002</v>
      </c>
      <c r="H43" s="158">
        <f t="shared" si="26"/>
        <v>0.375</v>
      </c>
      <c r="I43" s="158">
        <f t="shared" si="26"/>
        <v>0.375</v>
      </c>
      <c r="J43" s="158">
        <f t="shared" si="26"/>
        <v>0.44500000000000001</v>
      </c>
      <c r="K43" s="158">
        <f t="shared" si="26"/>
        <v>0.25</v>
      </c>
      <c r="L43" s="158">
        <f t="shared" si="26"/>
        <v>0.17500000000000002</v>
      </c>
      <c r="M43" s="158">
        <f t="shared" si="26"/>
        <v>0.42499999999999999</v>
      </c>
      <c r="N43" s="158">
        <f t="shared" si="26"/>
        <v>0.46250000000000002</v>
      </c>
      <c r="O43" s="158">
        <f t="shared" si="26"/>
        <v>0.375</v>
      </c>
      <c r="P43" s="158">
        <f t="shared" si="26"/>
        <v>0.16500000000000001</v>
      </c>
      <c r="Q43" s="158">
        <f t="shared" si="26"/>
        <v>0.42499999999999999</v>
      </c>
      <c r="R43" s="158">
        <f t="shared" si="26"/>
        <v>0.44500000000000001</v>
      </c>
      <c r="S43" s="158">
        <f t="shared" si="26"/>
        <v>0.48499999999999999</v>
      </c>
      <c r="T43" s="158">
        <f t="shared" si="26"/>
        <v>0.48499999999999999</v>
      </c>
      <c r="U43" s="158">
        <f t="shared" si="26"/>
        <v>0.5</v>
      </c>
      <c r="V43" s="158">
        <f t="shared" si="26"/>
        <v>0.48499999999999999</v>
      </c>
      <c r="W43" s="158">
        <f t="shared" si="27"/>
        <v>0.35499999999999998</v>
      </c>
      <c r="X43" s="158">
        <f t="shared" si="27"/>
        <v>0.48499999999999999</v>
      </c>
      <c r="Y43" s="158">
        <f t="shared" si="28"/>
        <v>0.375</v>
      </c>
      <c r="Z43" s="158">
        <f t="shared" si="28"/>
        <v>0.375</v>
      </c>
      <c r="AA43" s="158">
        <f t="shared" si="28"/>
        <v>0.48499999999999999</v>
      </c>
      <c r="AB43" s="158">
        <f t="shared" si="20"/>
        <v>0.33500000000000002</v>
      </c>
      <c r="AC43" s="158">
        <f t="shared" si="29"/>
        <v>0.13750000000000001</v>
      </c>
      <c r="AD43" s="158">
        <f t="shared" si="22"/>
        <v>0.5</v>
      </c>
      <c r="AE43" s="194"/>
    </row>
    <row r="44" spans="2:31" x14ac:dyDescent="0.2">
      <c r="B44" s="185">
        <v>4500000</v>
      </c>
      <c r="C44" s="212">
        <v>0</v>
      </c>
      <c r="D44" s="185">
        <v>3500000</v>
      </c>
      <c r="E44" s="160">
        <f t="shared" si="26"/>
        <v>0.22500000000000001</v>
      </c>
      <c r="F44" s="160">
        <f t="shared" si="26"/>
        <v>0</v>
      </c>
      <c r="G44" s="160">
        <f t="shared" si="26"/>
        <v>0.28000000000000003</v>
      </c>
      <c r="H44" s="158">
        <f t="shared" si="26"/>
        <v>0.39750000000000002</v>
      </c>
      <c r="I44" s="158">
        <f t="shared" si="26"/>
        <v>0.39750000000000002</v>
      </c>
      <c r="J44" s="158">
        <f t="shared" si="26"/>
        <v>0.46250000000000002</v>
      </c>
      <c r="K44" s="158">
        <f t="shared" si="26"/>
        <v>0.27500000000000002</v>
      </c>
      <c r="L44" s="158">
        <f t="shared" si="26"/>
        <v>0.2</v>
      </c>
      <c r="M44" s="158">
        <f t="shared" si="26"/>
        <v>0.44500000000000001</v>
      </c>
      <c r="N44" s="158">
        <f t="shared" si="26"/>
        <v>0.48249999999999998</v>
      </c>
      <c r="O44" s="158">
        <f t="shared" si="26"/>
        <v>0.39750000000000002</v>
      </c>
      <c r="P44" s="158">
        <f t="shared" si="26"/>
        <v>0.16750000000000001</v>
      </c>
      <c r="Q44" s="158">
        <f t="shared" si="26"/>
        <v>0.44500000000000001</v>
      </c>
      <c r="R44" s="158">
        <f t="shared" si="26"/>
        <v>0.46250000000000002</v>
      </c>
      <c r="S44" s="158">
        <f t="shared" si="26"/>
        <v>0.5</v>
      </c>
      <c r="T44" s="158">
        <f t="shared" si="26"/>
        <v>0.5</v>
      </c>
      <c r="U44" s="158">
        <f t="shared" si="26"/>
        <v>0.5</v>
      </c>
      <c r="V44" s="158">
        <f t="shared" si="26"/>
        <v>0.5</v>
      </c>
      <c r="W44" s="158">
        <f t="shared" si="27"/>
        <v>0.375</v>
      </c>
      <c r="X44" s="158">
        <f t="shared" si="27"/>
        <v>0.5</v>
      </c>
      <c r="Y44" s="158">
        <f t="shared" si="28"/>
        <v>0.39750000000000002</v>
      </c>
      <c r="Z44" s="158">
        <f t="shared" si="28"/>
        <v>0.39750000000000002</v>
      </c>
      <c r="AA44" s="158">
        <f t="shared" si="28"/>
        <v>0.5</v>
      </c>
      <c r="AB44" s="158">
        <f t="shared" si="20"/>
        <v>0.35499999999999998</v>
      </c>
      <c r="AC44" s="158">
        <f t="shared" si="29"/>
        <v>0.14000000000000001</v>
      </c>
      <c r="AD44" s="158">
        <f t="shared" si="22"/>
        <v>0.5</v>
      </c>
      <c r="AE44" s="194"/>
    </row>
    <row r="45" spans="2:31" x14ac:dyDescent="0.2">
      <c r="B45" s="185">
        <v>5000000</v>
      </c>
      <c r="C45" s="212">
        <v>0</v>
      </c>
      <c r="D45" s="185">
        <v>4000000</v>
      </c>
      <c r="E45" s="160">
        <f t="shared" si="26"/>
        <v>0.25</v>
      </c>
      <c r="F45" s="160">
        <f t="shared" si="26"/>
        <v>0</v>
      </c>
      <c r="G45" s="160">
        <f t="shared" si="26"/>
        <v>0.28750000000000003</v>
      </c>
      <c r="H45" s="158">
        <f t="shared" si="26"/>
        <v>0.41749999999999998</v>
      </c>
      <c r="I45" s="158">
        <f t="shared" si="26"/>
        <v>0.41749999999999998</v>
      </c>
      <c r="J45" s="158">
        <f t="shared" si="26"/>
        <v>0.48249999999999998</v>
      </c>
      <c r="K45" s="158">
        <f t="shared" si="26"/>
        <v>0.3</v>
      </c>
      <c r="L45" s="158">
        <f t="shared" si="26"/>
        <v>0.22500000000000001</v>
      </c>
      <c r="M45" s="158">
        <f t="shared" si="26"/>
        <v>0.46250000000000002</v>
      </c>
      <c r="N45" s="158">
        <f t="shared" si="26"/>
        <v>0.5</v>
      </c>
      <c r="O45" s="158">
        <f t="shared" si="26"/>
        <v>0.41749999999999998</v>
      </c>
      <c r="P45" s="158">
        <f t="shared" si="26"/>
        <v>0.17</v>
      </c>
      <c r="Q45" s="158">
        <f t="shared" si="26"/>
        <v>0.46250000000000002</v>
      </c>
      <c r="R45" s="158">
        <f t="shared" si="26"/>
        <v>0.48249999999999998</v>
      </c>
      <c r="S45" s="158">
        <f t="shared" si="26"/>
        <v>0.5</v>
      </c>
      <c r="T45" s="158">
        <f t="shared" si="26"/>
        <v>0.5</v>
      </c>
      <c r="U45" s="158">
        <f t="shared" si="26"/>
        <v>0.5</v>
      </c>
      <c r="V45" s="158">
        <f t="shared" si="26"/>
        <v>0.5</v>
      </c>
      <c r="W45" s="158">
        <f t="shared" si="27"/>
        <v>0.39750000000000002</v>
      </c>
      <c r="X45" s="158">
        <f t="shared" si="27"/>
        <v>0.5</v>
      </c>
      <c r="Y45" s="158">
        <f t="shared" si="28"/>
        <v>0.41749999999999998</v>
      </c>
      <c r="Z45" s="158">
        <f t="shared" si="28"/>
        <v>0.41749999999999998</v>
      </c>
      <c r="AA45" s="158">
        <f t="shared" si="28"/>
        <v>0.5</v>
      </c>
      <c r="AB45" s="158">
        <f t="shared" si="20"/>
        <v>0.375</v>
      </c>
      <c r="AC45" s="158">
        <f t="shared" si="29"/>
        <v>0.16750000000000001</v>
      </c>
      <c r="AD45" s="158">
        <f t="shared" si="22"/>
        <v>0.5</v>
      </c>
      <c r="AE45" s="194"/>
    </row>
    <row r="46" spans="2:31" x14ac:dyDescent="0.2">
      <c r="B46" s="185">
        <v>5500000</v>
      </c>
      <c r="C46" s="212">
        <v>0</v>
      </c>
      <c r="D46" s="185">
        <v>5000000</v>
      </c>
      <c r="E46" s="160">
        <f t="shared" si="26"/>
        <v>0.27500000000000002</v>
      </c>
      <c r="F46" s="160">
        <f t="shared" si="26"/>
        <v>0</v>
      </c>
      <c r="G46" s="160">
        <f t="shared" si="26"/>
        <v>0.29749999999999999</v>
      </c>
      <c r="H46" s="158">
        <f t="shared" si="26"/>
        <v>0.4375</v>
      </c>
      <c r="I46" s="158">
        <f t="shared" si="26"/>
        <v>0.4375</v>
      </c>
      <c r="J46" s="158">
        <f t="shared" si="26"/>
        <v>0.5</v>
      </c>
      <c r="K46" s="158">
        <f t="shared" si="26"/>
        <v>0.32500000000000001</v>
      </c>
      <c r="L46" s="158">
        <f t="shared" si="26"/>
        <v>0.25</v>
      </c>
      <c r="M46" s="158">
        <f t="shared" si="26"/>
        <v>0.48249999999999998</v>
      </c>
      <c r="N46" s="158">
        <f t="shared" si="26"/>
        <v>0.5</v>
      </c>
      <c r="O46" s="158">
        <f t="shared" si="26"/>
        <v>0.4375</v>
      </c>
      <c r="P46" s="158">
        <f t="shared" si="26"/>
        <v>0.17250000000000001</v>
      </c>
      <c r="Q46" s="158">
        <f t="shared" si="26"/>
        <v>0.48249999999999998</v>
      </c>
      <c r="R46" s="158">
        <f t="shared" si="26"/>
        <v>0.5</v>
      </c>
      <c r="S46" s="158">
        <f t="shared" si="26"/>
        <v>0.5</v>
      </c>
      <c r="T46" s="158">
        <f t="shared" si="26"/>
        <v>0.5</v>
      </c>
      <c r="U46" s="158">
        <f t="shared" si="26"/>
        <v>0.5</v>
      </c>
      <c r="V46" s="158">
        <f t="shared" si="26"/>
        <v>0.5</v>
      </c>
      <c r="W46" s="158">
        <f t="shared" si="27"/>
        <v>0.41749999999999998</v>
      </c>
      <c r="X46" s="158">
        <f t="shared" si="27"/>
        <v>0.5</v>
      </c>
      <c r="Y46" s="158">
        <f t="shared" si="28"/>
        <v>0.4375</v>
      </c>
      <c r="Z46" s="158">
        <f t="shared" si="28"/>
        <v>0.4375</v>
      </c>
      <c r="AA46" s="158">
        <f t="shared" si="28"/>
        <v>0.5</v>
      </c>
      <c r="AB46" s="158">
        <f t="shared" si="20"/>
        <v>0.39750000000000002</v>
      </c>
      <c r="AC46" s="158">
        <f t="shared" si="29"/>
        <v>0.1925</v>
      </c>
      <c r="AD46" s="158">
        <f t="shared" si="22"/>
        <v>0.5</v>
      </c>
      <c r="AE46" s="194"/>
    </row>
    <row r="47" spans="2:31" x14ac:dyDescent="0.2">
      <c r="B47" s="185">
        <v>6000000</v>
      </c>
      <c r="C47" s="212">
        <v>0</v>
      </c>
      <c r="D47" s="185">
        <v>6000000</v>
      </c>
      <c r="E47" s="160">
        <f t="shared" si="26"/>
        <v>0.3</v>
      </c>
      <c r="F47" s="160">
        <f t="shared" si="26"/>
        <v>0</v>
      </c>
      <c r="G47" s="160">
        <f t="shared" si="26"/>
        <v>0.30499999999999999</v>
      </c>
      <c r="H47" s="158">
        <f t="shared" si="26"/>
        <v>0.46</v>
      </c>
      <c r="I47" s="158">
        <f t="shared" si="26"/>
        <v>0.46</v>
      </c>
      <c r="J47" s="158">
        <f t="shared" si="26"/>
        <v>0.5</v>
      </c>
      <c r="K47" s="158">
        <f t="shared" si="26"/>
        <v>0.35000000000000003</v>
      </c>
      <c r="L47" s="158">
        <f t="shared" si="26"/>
        <v>0.27500000000000002</v>
      </c>
      <c r="M47" s="158">
        <f t="shared" si="26"/>
        <v>0.5</v>
      </c>
      <c r="N47" s="158">
        <f t="shared" si="26"/>
        <v>0.5</v>
      </c>
      <c r="O47" s="158">
        <f t="shared" si="26"/>
        <v>0.46</v>
      </c>
      <c r="P47" s="158">
        <f t="shared" si="26"/>
        <v>0.17500000000000002</v>
      </c>
      <c r="Q47" s="158">
        <f t="shared" si="26"/>
        <v>0.5</v>
      </c>
      <c r="R47" s="158">
        <f t="shared" si="26"/>
        <v>0.5</v>
      </c>
      <c r="S47" s="158">
        <f t="shared" si="26"/>
        <v>0.5</v>
      </c>
      <c r="T47" s="158">
        <f t="shared" si="26"/>
        <v>0.5</v>
      </c>
      <c r="U47" s="158">
        <f t="shared" si="26"/>
        <v>0.5</v>
      </c>
      <c r="V47" s="158">
        <f t="shared" si="26"/>
        <v>0.5</v>
      </c>
      <c r="W47" s="158">
        <f t="shared" si="27"/>
        <v>0.4375</v>
      </c>
      <c r="X47" s="158">
        <f t="shared" si="27"/>
        <v>0.5</v>
      </c>
      <c r="Y47" s="158">
        <f t="shared" si="28"/>
        <v>0.46</v>
      </c>
      <c r="Z47" s="158">
        <f t="shared" si="28"/>
        <v>0.46</v>
      </c>
      <c r="AA47" s="158">
        <f t="shared" si="28"/>
        <v>0.5</v>
      </c>
      <c r="AB47" s="158">
        <f t="shared" si="20"/>
        <v>0.41749999999999998</v>
      </c>
      <c r="AC47" s="158">
        <f t="shared" si="29"/>
        <v>0.22</v>
      </c>
      <c r="AD47" s="158">
        <f t="shared" si="22"/>
        <v>0.5</v>
      </c>
      <c r="AE47" s="194"/>
    </row>
    <row r="48" spans="2:31" x14ac:dyDescent="0.2">
      <c r="B48" s="185">
        <v>6500000</v>
      </c>
      <c r="C48" s="212">
        <v>0</v>
      </c>
      <c r="D48" s="185">
        <v>7000000</v>
      </c>
      <c r="E48" s="160">
        <f t="shared" ref="E48:V57" si="30">IF($D48&lt;=E$3,CEILING(((E$7-E$17)/(E$5-1))*(ROW()-ROW(E$17))+E$17,0.25%),IF($D48&lt;=E$4,CEILING(((E$8-E$7)/(E$6-E$5))*(ROW()-E$5-ROW(E$17)+1)+E$7,0.25%),E$8))</f>
        <v>0.32500000000000001</v>
      </c>
      <c r="F48" s="160">
        <f t="shared" si="30"/>
        <v>0</v>
      </c>
      <c r="G48" s="160">
        <f t="shared" si="30"/>
        <v>0.3125</v>
      </c>
      <c r="H48" s="158">
        <f t="shared" si="30"/>
        <v>0.48</v>
      </c>
      <c r="I48" s="158">
        <f t="shared" si="30"/>
        <v>0.48</v>
      </c>
      <c r="J48" s="158">
        <f t="shared" si="30"/>
        <v>0.5</v>
      </c>
      <c r="K48" s="158">
        <f t="shared" si="30"/>
        <v>0.375</v>
      </c>
      <c r="L48" s="158">
        <f t="shared" si="30"/>
        <v>0.3</v>
      </c>
      <c r="M48" s="158">
        <f t="shared" si="30"/>
        <v>0.5</v>
      </c>
      <c r="N48" s="158">
        <f t="shared" si="30"/>
        <v>0.5</v>
      </c>
      <c r="O48" s="158">
        <f t="shared" si="30"/>
        <v>0.48</v>
      </c>
      <c r="P48" s="158">
        <f t="shared" si="30"/>
        <v>0.17500000000000002</v>
      </c>
      <c r="Q48" s="158">
        <f t="shared" si="30"/>
        <v>0.5</v>
      </c>
      <c r="R48" s="158">
        <f t="shared" si="30"/>
        <v>0.5</v>
      </c>
      <c r="S48" s="158">
        <f t="shared" si="30"/>
        <v>0.5</v>
      </c>
      <c r="T48" s="158">
        <f t="shared" si="30"/>
        <v>0.5</v>
      </c>
      <c r="U48" s="158">
        <f t="shared" si="30"/>
        <v>0.5</v>
      </c>
      <c r="V48" s="158">
        <f t="shared" si="30"/>
        <v>0.5</v>
      </c>
      <c r="W48" s="158">
        <f t="shared" ref="W48:X57" si="31">IF($D48&lt;=W$3,CEILING(((W$7-W$17)/(W$5-1))*(ROW()-ROW(W$17))+W$17,0.25%),IF($D48&lt;=W$4,CEILING(((W$8-W$7)/(W$6-W$5))*(ROW()-W$5-ROW(W$17)+1)+W$7,0.25%),W$8))</f>
        <v>0.46</v>
      </c>
      <c r="X48" s="158">
        <f t="shared" si="31"/>
        <v>0.5</v>
      </c>
      <c r="Y48" s="158">
        <f t="shared" si="28"/>
        <v>0.48</v>
      </c>
      <c r="Z48" s="158">
        <f t="shared" si="28"/>
        <v>0.48</v>
      </c>
      <c r="AA48" s="158">
        <f t="shared" si="28"/>
        <v>0.5</v>
      </c>
      <c r="AB48" s="158">
        <f t="shared" si="20"/>
        <v>0.4375</v>
      </c>
      <c r="AC48" s="158">
        <f t="shared" ref="AB48:AD57" si="32">IF($D48&lt;=AC$3,CEILING(((AC$7-AC$17)/(AC$5-1))*(ROW()-ROW(AC$17))+AC$17,0.25%),IF($D48&lt;=AC$4,CEILING(((AC$8-AC$7)/(AC$6-AC$5))*(ROW()-AC$5-ROW(AC$17)+1)+AC$7,0.25%),AC$8))</f>
        <v>0.245</v>
      </c>
      <c r="AD48" s="158">
        <f t="shared" si="22"/>
        <v>0.5</v>
      </c>
      <c r="AE48" s="194"/>
    </row>
    <row r="49" spans="2:31" x14ac:dyDescent="0.2">
      <c r="B49" s="185">
        <v>7000000</v>
      </c>
      <c r="C49" s="212">
        <v>0</v>
      </c>
      <c r="D49" s="185">
        <v>8000000</v>
      </c>
      <c r="E49" s="160">
        <f t="shared" si="30"/>
        <v>0.35000000000000003</v>
      </c>
      <c r="F49" s="160">
        <f t="shared" si="30"/>
        <v>0</v>
      </c>
      <c r="G49" s="160">
        <f t="shared" si="30"/>
        <v>0.33</v>
      </c>
      <c r="H49" s="158">
        <f t="shared" si="30"/>
        <v>0.5</v>
      </c>
      <c r="I49" s="158">
        <f t="shared" si="30"/>
        <v>0.5</v>
      </c>
      <c r="J49" s="158">
        <f t="shared" si="30"/>
        <v>0.5</v>
      </c>
      <c r="K49" s="158">
        <f t="shared" si="30"/>
        <v>0.4</v>
      </c>
      <c r="L49" s="158">
        <f t="shared" si="30"/>
        <v>0.32500000000000001</v>
      </c>
      <c r="M49" s="158">
        <f t="shared" si="30"/>
        <v>0.5</v>
      </c>
      <c r="N49" s="158">
        <f t="shared" si="30"/>
        <v>0.5</v>
      </c>
      <c r="O49" s="158">
        <f t="shared" si="30"/>
        <v>0.5</v>
      </c>
      <c r="P49" s="158">
        <f t="shared" si="30"/>
        <v>0.19750000000000001</v>
      </c>
      <c r="Q49" s="158">
        <f t="shared" si="30"/>
        <v>0.5</v>
      </c>
      <c r="R49" s="158">
        <f t="shared" si="30"/>
        <v>0.5</v>
      </c>
      <c r="S49" s="158">
        <f t="shared" si="30"/>
        <v>0.5</v>
      </c>
      <c r="T49" s="158">
        <f t="shared" si="30"/>
        <v>0.5</v>
      </c>
      <c r="U49" s="158">
        <f t="shared" si="30"/>
        <v>0.5</v>
      </c>
      <c r="V49" s="158">
        <f t="shared" si="30"/>
        <v>0.5</v>
      </c>
      <c r="W49" s="158">
        <f t="shared" si="31"/>
        <v>0.48</v>
      </c>
      <c r="X49" s="158">
        <f t="shared" si="31"/>
        <v>0.5</v>
      </c>
      <c r="Y49" s="158">
        <f t="shared" si="28"/>
        <v>0.5</v>
      </c>
      <c r="Z49" s="158">
        <f t="shared" si="28"/>
        <v>0.5</v>
      </c>
      <c r="AA49" s="158">
        <f t="shared" si="28"/>
        <v>0.5</v>
      </c>
      <c r="AB49" s="158">
        <f t="shared" si="20"/>
        <v>0.46</v>
      </c>
      <c r="AC49" s="158">
        <f t="shared" si="32"/>
        <v>0.27250000000000002</v>
      </c>
      <c r="AD49" s="158">
        <f t="shared" si="22"/>
        <v>0.5</v>
      </c>
      <c r="AE49" s="194"/>
    </row>
    <row r="50" spans="2:31" x14ac:dyDescent="0.2">
      <c r="B50" s="185">
        <v>7500000</v>
      </c>
      <c r="C50" s="212">
        <v>0</v>
      </c>
      <c r="D50" s="185">
        <v>9000000</v>
      </c>
      <c r="E50" s="160">
        <f t="shared" si="30"/>
        <v>0.375</v>
      </c>
      <c r="F50" s="160">
        <f t="shared" si="30"/>
        <v>0</v>
      </c>
      <c r="G50" s="160">
        <f t="shared" si="30"/>
        <v>0.34750000000000003</v>
      </c>
      <c r="H50" s="158">
        <f t="shared" si="30"/>
        <v>0.5</v>
      </c>
      <c r="I50" s="158">
        <f t="shared" si="30"/>
        <v>0.5</v>
      </c>
      <c r="J50" s="158">
        <f t="shared" si="30"/>
        <v>0.5</v>
      </c>
      <c r="K50" s="158">
        <f t="shared" si="30"/>
        <v>0.4</v>
      </c>
      <c r="L50" s="158">
        <f t="shared" si="30"/>
        <v>0.35000000000000003</v>
      </c>
      <c r="M50" s="158">
        <f t="shared" si="30"/>
        <v>0.5</v>
      </c>
      <c r="N50" s="158">
        <f t="shared" si="30"/>
        <v>0.5</v>
      </c>
      <c r="O50" s="158">
        <f t="shared" si="30"/>
        <v>0.5</v>
      </c>
      <c r="P50" s="158">
        <f t="shared" si="30"/>
        <v>0.2175</v>
      </c>
      <c r="Q50" s="158">
        <f t="shared" si="30"/>
        <v>0.5</v>
      </c>
      <c r="R50" s="158">
        <f t="shared" si="30"/>
        <v>0.5</v>
      </c>
      <c r="S50" s="158">
        <f t="shared" si="30"/>
        <v>0.5</v>
      </c>
      <c r="T50" s="158">
        <f t="shared" si="30"/>
        <v>0.5</v>
      </c>
      <c r="U50" s="158">
        <f t="shared" si="30"/>
        <v>0.5</v>
      </c>
      <c r="V50" s="158">
        <f t="shared" si="30"/>
        <v>0.5</v>
      </c>
      <c r="W50" s="158">
        <f t="shared" si="31"/>
        <v>0.5</v>
      </c>
      <c r="X50" s="158">
        <f t="shared" si="31"/>
        <v>0.5</v>
      </c>
      <c r="Y50" s="158">
        <f t="shared" si="28"/>
        <v>0.5</v>
      </c>
      <c r="Z50" s="158">
        <f t="shared" si="28"/>
        <v>0.5</v>
      </c>
      <c r="AA50" s="158">
        <f t="shared" si="28"/>
        <v>0.5</v>
      </c>
      <c r="AB50" s="158">
        <f t="shared" si="32"/>
        <v>0.48</v>
      </c>
      <c r="AC50" s="158">
        <f t="shared" si="32"/>
        <v>0.29749999999999999</v>
      </c>
      <c r="AD50" s="158">
        <f t="shared" si="32"/>
        <v>0.5</v>
      </c>
      <c r="AE50" s="194"/>
    </row>
    <row r="51" spans="2:31" x14ac:dyDescent="0.2">
      <c r="B51" s="185">
        <v>8000000</v>
      </c>
      <c r="C51" s="212">
        <v>0</v>
      </c>
      <c r="D51" s="185">
        <v>10000000</v>
      </c>
      <c r="E51" s="160">
        <f t="shared" si="30"/>
        <v>0.4</v>
      </c>
      <c r="F51" s="160">
        <f t="shared" si="30"/>
        <v>0</v>
      </c>
      <c r="G51" s="160">
        <f t="shared" si="30"/>
        <v>0.36499999999999999</v>
      </c>
      <c r="H51" s="158">
        <f t="shared" si="30"/>
        <v>0.5</v>
      </c>
      <c r="I51" s="158">
        <f t="shared" si="30"/>
        <v>0.5</v>
      </c>
      <c r="J51" s="158">
        <f t="shared" si="30"/>
        <v>0.5</v>
      </c>
      <c r="K51" s="158">
        <f t="shared" si="30"/>
        <v>0.4</v>
      </c>
      <c r="L51" s="158">
        <f t="shared" si="30"/>
        <v>0.375</v>
      </c>
      <c r="M51" s="158">
        <f t="shared" si="30"/>
        <v>0.5</v>
      </c>
      <c r="N51" s="158">
        <f t="shared" si="30"/>
        <v>0.5</v>
      </c>
      <c r="O51" s="158">
        <f t="shared" si="30"/>
        <v>0.5</v>
      </c>
      <c r="P51" s="158">
        <f t="shared" si="30"/>
        <v>0.23750000000000002</v>
      </c>
      <c r="Q51" s="158">
        <f t="shared" si="30"/>
        <v>0.5</v>
      </c>
      <c r="R51" s="158">
        <f t="shared" si="30"/>
        <v>0.5</v>
      </c>
      <c r="S51" s="158">
        <f t="shared" si="30"/>
        <v>0.5</v>
      </c>
      <c r="T51" s="158">
        <f t="shared" si="30"/>
        <v>0.5</v>
      </c>
      <c r="U51" s="158">
        <f t="shared" si="30"/>
        <v>0.5</v>
      </c>
      <c r="V51" s="158">
        <f t="shared" si="30"/>
        <v>0.5</v>
      </c>
      <c r="W51" s="158">
        <f t="shared" si="31"/>
        <v>0.5</v>
      </c>
      <c r="X51" s="158">
        <f t="shared" si="31"/>
        <v>0.5</v>
      </c>
      <c r="Y51" s="158">
        <f t="shared" si="28"/>
        <v>0.5</v>
      </c>
      <c r="Z51" s="158">
        <f t="shared" si="28"/>
        <v>0.5</v>
      </c>
      <c r="AA51" s="158">
        <f t="shared" si="28"/>
        <v>0.5</v>
      </c>
      <c r="AB51" s="158">
        <f t="shared" si="32"/>
        <v>0.5</v>
      </c>
      <c r="AC51" s="158">
        <f t="shared" si="32"/>
        <v>0.32500000000000001</v>
      </c>
      <c r="AD51" s="158">
        <f t="shared" si="32"/>
        <v>0.5</v>
      </c>
      <c r="AE51" s="194"/>
    </row>
    <row r="52" spans="2:31" x14ac:dyDescent="0.2">
      <c r="B52" s="185">
        <v>8500000</v>
      </c>
      <c r="C52" s="212">
        <v>0</v>
      </c>
      <c r="D52" s="185">
        <v>12000000</v>
      </c>
      <c r="E52" s="160">
        <f t="shared" si="30"/>
        <v>0.4</v>
      </c>
      <c r="F52" s="160">
        <f t="shared" si="30"/>
        <v>0</v>
      </c>
      <c r="G52" s="160">
        <f t="shared" si="30"/>
        <v>0.38250000000000001</v>
      </c>
      <c r="H52" s="158">
        <f t="shared" si="30"/>
        <v>0.5</v>
      </c>
      <c r="I52" s="158">
        <f t="shared" si="30"/>
        <v>0.5</v>
      </c>
      <c r="J52" s="158">
        <f t="shared" si="30"/>
        <v>0.5</v>
      </c>
      <c r="K52" s="158">
        <f t="shared" si="30"/>
        <v>0.4</v>
      </c>
      <c r="L52" s="158">
        <f t="shared" si="30"/>
        <v>0.4</v>
      </c>
      <c r="M52" s="158">
        <f t="shared" si="30"/>
        <v>0.5</v>
      </c>
      <c r="N52" s="158">
        <f t="shared" si="30"/>
        <v>0.5</v>
      </c>
      <c r="O52" s="158">
        <f t="shared" si="30"/>
        <v>0.5</v>
      </c>
      <c r="P52" s="158">
        <f t="shared" si="30"/>
        <v>0.25750000000000001</v>
      </c>
      <c r="Q52" s="158">
        <f t="shared" si="30"/>
        <v>0.5</v>
      </c>
      <c r="R52" s="158">
        <f t="shared" si="30"/>
        <v>0.5</v>
      </c>
      <c r="S52" s="158">
        <f t="shared" si="30"/>
        <v>0.5</v>
      </c>
      <c r="T52" s="158">
        <f t="shared" si="30"/>
        <v>0.5</v>
      </c>
      <c r="U52" s="158">
        <f t="shared" si="30"/>
        <v>0.5</v>
      </c>
      <c r="V52" s="158">
        <f t="shared" si="30"/>
        <v>0.5</v>
      </c>
      <c r="W52" s="158">
        <f t="shared" si="31"/>
        <v>0.5</v>
      </c>
      <c r="X52" s="158">
        <f t="shared" si="31"/>
        <v>0.5</v>
      </c>
      <c r="Y52" s="158">
        <f t="shared" si="28"/>
        <v>0.5</v>
      </c>
      <c r="Z52" s="158">
        <f t="shared" si="28"/>
        <v>0.5</v>
      </c>
      <c r="AA52" s="158">
        <f t="shared" si="28"/>
        <v>0.5</v>
      </c>
      <c r="AB52" s="158">
        <f t="shared" si="32"/>
        <v>0.5</v>
      </c>
      <c r="AC52" s="158">
        <f t="shared" si="32"/>
        <v>0.35000000000000003</v>
      </c>
      <c r="AD52" s="158">
        <f t="shared" si="32"/>
        <v>0.5</v>
      </c>
      <c r="AE52" s="194"/>
    </row>
    <row r="53" spans="2:31" x14ac:dyDescent="0.2">
      <c r="B53" s="185">
        <v>9000000</v>
      </c>
      <c r="C53" s="212">
        <v>0</v>
      </c>
      <c r="D53" s="185">
        <v>14000000</v>
      </c>
      <c r="E53" s="160">
        <f t="shared" si="30"/>
        <v>0.4</v>
      </c>
      <c r="F53" s="160">
        <f t="shared" si="30"/>
        <v>0</v>
      </c>
      <c r="G53" s="160">
        <f t="shared" si="30"/>
        <v>0.4</v>
      </c>
      <c r="H53" s="158">
        <f t="shared" si="30"/>
        <v>0.5</v>
      </c>
      <c r="I53" s="158">
        <f t="shared" si="30"/>
        <v>0.5</v>
      </c>
      <c r="J53" s="158">
        <f t="shared" si="30"/>
        <v>0.5</v>
      </c>
      <c r="K53" s="158">
        <f t="shared" si="30"/>
        <v>0.4</v>
      </c>
      <c r="L53" s="158">
        <f t="shared" si="30"/>
        <v>0.4</v>
      </c>
      <c r="M53" s="158">
        <f t="shared" si="30"/>
        <v>0.5</v>
      </c>
      <c r="N53" s="158">
        <f t="shared" si="30"/>
        <v>0.5</v>
      </c>
      <c r="O53" s="158">
        <f t="shared" si="30"/>
        <v>0.5</v>
      </c>
      <c r="P53" s="158">
        <f t="shared" si="30"/>
        <v>0.27750000000000002</v>
      </c>
      <c r="Q53" s="158">
        <f t="shared" si="30"/>
        <v>0.5</v>
      </c>
      <c r="R53" s="158">
        <f t="shared" si="30"/>
        <v>0.5</v>
      </c>
      <c r="S53" s="158">
        <f t="shared" si="30"/>
        <v>0.5</v>
      </c>
      <c r="T53" s="158">
        <f t="shared" si="30"/>
        <v>0.5</v>
      </c>
      <c r="U53" s="158">
        <f t="shared" si="30"/>
        <v>0.5</v>
      </c>
      <c r="V53" s="158">
        <f t="shared" si="30"/>
        <v>0.5</v>
      </c>
      <c r="W53" s="158">
        <f t="shared" si="31"/>
        <v>0.5</v>
      </c>
      <c r="X53" s="158">
        <f t="shared" si="31"/>
        <v>0.5</v>
      </c>
      <c r="Y53" s="158">
        <f t="shared" si="28"/>
        <v>0.5</v>
      </c>
      <c r="Z53" s="158">
        <f t="shared" si="28"/>
        <v>0.5</v>
      </c>
      <c r="AA53" s="158">
        <f t="shared" si="28"/>
        <v>0.5</v>
      </c>
      <c r="AB53" s="158">
        <f t="shared" si="32"/>
        <v>0.5</v>
      </c>
      <c r="AC53" s="158">
        <f t="shared" si="32"/>
        <v>0.375</v>
      </c>
      <c r="AD53" s="158">
        <f t="shared" si="32"/>
        <v>0.5</v>
      </c>
      <c r="AE53" s="194"/>
    </row>
    <row r="54" spans="2:31" x14ac:dyDescent="0.2">
      <c r="B54" s="185">
        <v>10000000</v>
      </c>
      <c r="C54" s="212">
        <v>0</v>
      </c>
      <c r="D54" s="185">
        <v>16000000</v>
      </c>
      <c r="E54" s="160">
        <f t="shared" si="30"/>
        <v>0.4</v>
      </c>
      <c r="F54" s="160">
        <f t="shared" si="30"/>
        <v>0</v>
      </c>
      <c r="G54" s="160">
        <f t="shared" si="30"/>
        <v>0.41500000000000004</v>
      </c>
      <c r="H54" s="158">
        <f t="shared" si="30"/>
        <v>0.5</v>
      </c>
      <c r="I54" s="158">
        <f t="shared" si="30"/>
        <v>0.5</v>
      </c>
      <c r="J54" s="158">
        <f t="shared" si="30"/>
        <v>0.5</v>
      </c>
      <c r="K54" s="158">
        <f t="shared" si="30"/>
        <v>0.4</v>
      </c>
      <c r="L54" s="158">
        <f t="shared" si="30"/>
        <v>0.4</v>
      </c>
      <c r="M54" s="158">
        <f t="shared" si="30"/>
        <v>0.5</v>
      </c>
      <c r="N54" s="158">
        <f t="shared" si="30"/>
        <v>0.5</v>
      </c>
      <c r="O54" s="158">
        <f t="shared" si="30"/>
        <v>0.5</v>
      </c>
      <c r="P54" s="158">
        <f t="shared" si="30"/>
        <v>0.3</v>
      </c>
      <c r="Q54" s="158">
        <f t="shared" si="30"/>
        <v>0.5</v>
      </c>
      <c r="R54" s="158">
        <f t="shared" si="30"/>
        <v>0.5</v>
      </c>
      <c r="S54" s="158">
        <f t="shared" si="30"/>
        <v>0.5</v>
      </c>
      <c r="T54" s="158">
        <f t="shared" si="30"/>
        <v>0.5</v>
      </c>
      <c r="U54" s="158">
        <f t="shared" si="30"/>
        <v>0.5</v>
      </c>
      <c r="V54" s="158">
        <f t="shared" si="30"/>
        <v>0.5</v>
      </c>
      <c r="W54" s="158">
        <f t="shared" si="31"/>
        <v>0.5</v>
      </c>
      <c r="X54" s="158">
        <f t="shared" si="31"/>
        <v>0.5</v>
      </c>
      <c r="Y54" s="158">
        <f t="shared" si="28"/>
        <v>0.5</v>
      </c>
      <c r="Z54" s="158">
        <f t="shared" si="28"/>
        <v>0.5</v>
      </c>
      <c r="AA54" s="158">
        <f t="shared" si="28"/>
        <v>0.5</v>
      </c>
      <c r="AB54" s="158">
        <f t="shared" si="32"/>
        <v>0.5</v>
      </c>
      <c r="AC54" s="158">
        <f t="shared" si="32"/>
        <v>0.375</v>
      </c>
      <c r="AD54" s="158">
        <f t="shared" si="32"/>
        <v>0.5</v>
      </c>
      <c r="AE54" s="194"/>
    </row>
    <row r="55" spans="2:31" x14ac:dyDescent="0.2">
      <c r="B55" s="185">
        <v>11000000</v>
      </c>
      <c r="C55" s="212">
        <v>0</v>
      </c>
      <c r="D55" s="185">
        <v>18000000</v>
      </c>
      <c r="E55" s="160">
        <f t="shared" si="30"/>
        <v>0.4</v>
      </c>
      <c r="F55" s="160">
        <f t="shared" si="30"/>
        <v>0</v>
      </c>
      <c r="G55" s="160">
        <f t="shared" si="30"/>
        <v>0.4325</v>
      </c>
      <c r="H55" s="158">
        <f t="shared" si="30"/>
        <v>0.5</v>
      </c>
      <c r="I55" s="158">
        <f t="shared" si="30"/>
        <v>0.5</v>
      </c>
      <c r="J55" s="158">
        <f t="shared" si="30"/>
        <v>0.5</v>
      </c>
      <c r="K55" s="158">
        <f t="shared" si="30"/>
        <v>0.4</v>
      </c>
      <c r="L55" s="158">
        <f t="shared" si="30"/>
        <v>0.4</v>
      </c>
      <c r="M55" s="158">
        <f t="shared" si="30"/>
        <v>0.5</v>
      </c>
      <c r="N55" s="158">
        <f t="shared" si="30"/>
        <v>0.5</v>
      </c>
      <c r="O55" s="158">
        <f t="shared" si="30"/>
        <v>0.5</v>
      </c>
      <c r="P55" s="158">
        <f t="shared" si="30"/>
        <v>0.32</v>
      </c>
      <c r="Q55" s="158">
        <f t="shared" si="30"/>
        <v>0.5</v>
      </c>
      <c r="R55" s="158">
        <f t="shared" si="30"/>
        <v>0.5</v>
      </c>
      <c r="S55" s="158">
        <f t="shared" si="30"/>
        <v>0.5</v>
      </c>
      <c r="T55" s="158">
        <f t="shared" si="30"/>
        <v>0.5</v>
      </c>
      <c r="U55" s="158">
        <f t="shared" si="30"/>
        <v>0.5</v>
      </c>
      <c r="V55" s="158">
        <f t="shared" si="30"/>
        <v>0.5</v>
      </c>
      <c r="W55" s="158">
        <f t="shared" si="31"/>
        <v>0.5</v>
      </c>
      <c r="X55" s="158">
        <f t="shared" si="31"/>
        <v>0.5</v>
      </c>
      <c r="Y55" s="158">
        <f t="shared" si="28"/>
        <v>0.5</v>
      </c>
      <c r="Z55" s="158">
        <f t="shared" si="28"/>
        <v>0.5</v>
      </c>
      <c r="AA55" s="158">
        <f t="shared" si="28"/>
        <v>0.5</v>
      </c>
      <c r="AB55" s="158">
        <f t="shared" si="32"/>
        <v>0.5</v>
      </c>
      <c r="AC55" s="158">
        <f t="shared" si="32"/>
        <v>0.375</v>
      </c>
      <c r="AD55" s="158">
        <f t="shared" si="32"/>
        <v>0.5</v>
      </c>
      <c r="AE55" s="194"/>
    </row>
    <row r="56" spans="2:31" x14ac:dyDescent="0.2">
      <c r="B56" s="185">
        <v>12000000</v>
      </c>
      <c r="C56" s="212">
        <v>0</v>
      </c>
      <c r="D56" s="185">
        <v>20000000</v>
      </c>
      <c r="E56" s="160">
        <f t="shared" si="30"/>
        <v>0.4</v>
      </c>
      <c r="F56" s="160">
        <f t="shared" si="30"/>
        <v>0</v>
      </c>
      <c r="G56" s="160">
        <f t="shared" si="30"/>
        <v>0.45</v>
      </c>
      <c r="H56" s="158">
        <f t="shared" si="30"/>
        <v>0.5</v>
      </c>
      <c r="I56" s="158">
        <f t="shared" si="30"/>
        <v>0.5</v>
      </c>
      <c r="J56" s="158">
        <f t="shared" si="30"/>
        <v>0.5</v>
      </c>
      <c r="K56" s="158">
        <f t="shared" si="30"/>
        <v>0.4</v>
      </c>
      <c r="L56" s="158">
        <f t="shared" si="30"/>
        <v>0.4</v>
      </c>
      <c r="M56" s="158">
        <f t="shared" si="30"/>
        <v>0.5</v>
      </c>
      <c r="N56" s="158">
        <f t="shared" si="30"/>
        <v>0.5</v>
      </c>
      <c r="O56" s="158">
        <f t="shared" si="30"/>
        <v>0.5</v>
      </c>
      <c r="P56" s="158">
        <f t="shared" si="30"/>
        <v>0.34</v>
      </c>
      <c r="Q56" s="158">
        <f t="shared" si="30"/>
        <v>0.5</v>
      </c>
      <c r="R56" s="158">
        <f t="shared" si="30"/>
        <v>0.5</v>
      </c>
      <c r="S56" s="158">
        <f t="shared" si="30"/>
        <v>0.5</v>
      </c>
      <c r="T56" s="158">
        <f t="shared" si="30"/>
        <v>0.5</v>
      </c>
      <c r="U56" s="158">
        <f t="shared" si="30"/>
        <v>0.5</v>
      </c>
      <c r="V56" s="158">
        <f t="shared" si="30"/>
        <v>0.5</v>
      </c>
      <c r="W56" s="158">
        <f t="shared" si="31"/>
        <v>0.5</v>
      </c>
      <c r="X56" s="158">
        <f t="shared" si="31"/>
        <v>0.5</v>
      </c>
      <c r="Y56" s="158">
        <f t="shared" si="28"/>
        <v>0.5</v>
      </c>
      <c r="Z56" s="158">
        <f t="shared" si="28"/>
        <v>0.5</v>
      </c>
      <c r="AA56" s="158">
        <f t="shared" si="28"/>
        <v>0.5</v>
      </c>
      <c r="AB56" s="158">
        <f t="shared" si="32"/>
        <v>0.5</v>
      </c>
      <c r="AC56" s="158">
        <f t="shared" si="32"/>
        <v>0.375</v>
      </c>
      <c r="AD56" s="158">
        <f t="shared" si="32"/>
        <v>0.5</v>
      </c>
      <c r="AE56" s="194"/>
    </row>
    <row r="57" spans="2:31" x14ac:dyDescent="0.2">
      <c r="B57" s="185">
        <v>13000000</v>
      </c>
      <c r="C57" s="212">
        <v>0</v>
      </c>
      <c r="D57" s="185">
        <v>22500000</v>
      </c>
      <c r="E57" s="160">
        <f t="shared" si="30"/>
        <v>0.4</v>
      </c>
      <c r="F57" s="160">
        <f t="shared" si="30"/>
        <v>0</v>
      </c>
      <c r="G57" s="160">
        <f t="shared" si="30"/>
        <v>0.46750000000000003</v>
      </c>
      <c r="H57" s="158">
        <f t="shared" si="30"/>
        <v>0.5</v>
      </c>
      <c r="I57" s="158">
        <f t="shared" si="30"/>
        <v>0.5</v>
      </c>
      <c r="J57" s="158">
        <f t="shared" si="30"/>
        <v>0.5</v>
      </c>
      <c r="K57" s="158">
        <f t="shared" si="30"/>
        <v>0.4</v>
      </c>
      <c r="L57" s="158">
        <f t="shared" si="30"/>
        <v>0.4</v>
      </c>
      <c r="M57" s="158">
        <f t="shared" si="30"/>
        <v>0.5</v>
      </c>
      <c r="N57" s="158">
        <f t="shared" si="30"/>
        <v>0.5</v>
      </c>
      <c r="O57" s="158">
        <f t="shared" si="30"/>
        <v>0.5</v>
      </c>
      <c r="P57" s="158">
        <f t="shared" si="30"/>
        <v>0.36</v>
      </c>
      <c r="Q57" s="158">
        <f t="shared" si="30"/>
        <v>0.5</v>
      </c>
      <c r="R57" s="158">
        <f t="shared" si="30"/>
        <v>0.5</v>
      </c>
      <c r="S57" s="158">
        <f t="shared" si="30"/>
        <v>0.5</v>
      </c>
      <c r="T57" s="158">
        <f t="shared" si="30"/>
        <v>0.5</v>
      </c>
      <c r="U57" s="158">
        <f t="shared" si="30"/>
        <v>0.5</v>
      </c>
      <c r="V57" s="158">
        <f t="shared" si="30"/>
        <v>0.5</v>
      </c>
      <c r="W57" s="158">
        <f t="shared" si="31"/>
        <v>0.5</v>
      </c>
      <c r="X57" s="158">
        <f t="shared" si="31"/>
        <v>0.5</v>
      </c>
      <c r="Y57" s="158">
        <f t="shared" si="28"/>
        <v>0.5</v>
      </c>
      <c r="Z57" s="158">
        <f t="shared" si="28"/>
        <v>0.5</v>
      </c>
      <c r="AA57" s="158">
        <f t="shared" si="28"/>
        <v>0.5</v>
      </c>
      <c r="AB57" s="158">
        <f t="shared" si="32"/>
        <v>0.5</v>
      </c>
      <c r="AC57" s="158">
        <f t="shared" si="32"/>
        <v>0.375</v>
      </c>
      <c r="AD57" s="158">
        <f t="shared" si="32"/>
        <v>0.5</v>
      </c>
      <c r="AE57" s="194"/>
    </row>
    <row r="58" spans="2:31" x14ac:dyDescent="0.2">
      <c r="B58" s="185">
        <v>14000000</v>
      </c>
      <c r="C58" s="212">
        <v>0</v>
      </c>
      <c r="D58" s="185">
        <v>25000000</v>
      </c>
      <c r="E58" s="160">
        <f t="shared" ref="E58:V67" si="33">IF($D58&lt;=E$3,CEILING(((E$7-E$17)/(E$5-1))*(ROW()-ROW(E$17))+E$17,0.25%),IF($D58&lt;=E$4,CEILING(((E$8-E$7)/(E$6-E$5))*(ROW()-E$5-ROW(E$17)+1)+E$7,0.25%),E$8))</f>
        <v>0.4</v>
      </c>
      <c r="F58" s="160">
        <f t="shared" si="33"/>
        <v>0</v>
      </c>
      <c r="G58" s="160">
        <f t="shared" si="33"/>
        <v>0.48499999999999999</v>
      </c>
      <c r="H58" s="158">
        <f t="shared" si="33"/>
        <v>0.5</v>
      </c>
      <c r="I58" s="158">
        <f t="shared" si="33"/>
        <v>0.5</v>
      </c>
      <c r="J58" s="158">
        <f t="shared" si="33"/>
        <v>0.5</v>
      </c>
      <c r="K58" s="158">
        <f t="shared" si="33"/>
        <v>0.4</v>
      </c>
      <c r="L58" s="158">
        <f t="shared" si="33"/>
        <v>0.4</v>
      </c>
      <c r="M58" s="158">
        <f t="shared" si="33"/>
        <v>0.5</v>
      </c>
      <c r="N58" s="158">
        <f t="shared" si="33"/>
        <v>0.5</v>
      </c>
      <c r="O58" s="158">
        <f t="shared" si="33"/>
        <v>0.5</v>
      </c>
      <c r="P58" s="158">
        <f t="shared" si="33"/>
        <v>0.38</v>
      </c>
      <c r="Q58" s="158">
        <f t="shared" si="33"/>
        <v>0.5</v>
      </c>
      <c r="R58" s="158">
        <f t="shared" si="33"/>
        <v>0.5</v>
      </c>
      <c r="S58" s="158">
        <f t="shared" si="33"/>
        <v>0.5</v>
      </c>
      <c r="T58" s="158">
        <f t="shared" si="33"/>
        <v>0.5</v>
      </c>
      <c r="U58" s="158">
        <f t="shared" si="33"/>
        <v>0.5</v>
      </c>
      <c r="V58" s="158">
        <f t="shared" si="33"/>
        <v>0.5</v>
      </c>
      <c r="W58" s="158">
        <f t="shared" ref="W58:X67" si="34">IF($D58&lt;=W$3,CEILING(((W$7-W$17)/(W$5-1))*(ROW()-ROW(W$17))+W$17,0.25%),IF($D58&lt;=W$4,CEILING(((W$8-W$7)/(W$6-W$5))*(ROW()-W$5-ROW(W$17)+1)+W$7,0.25%),W$8))</f>
        <v>0.5</v>
      </c>
      <c r="X58" s="158">
        <f t="shared" si="34"/>
        <v>0.5</v>
      </c>
      <c r="Y58" s="158">
        <f t="shared" ref="Y58:AA74" si="35">IF($D58&lt;=Y$3,CEILING(((Y$7-Y$17)/(Y$5-1))*(ROW()-ROW(Y$17))+Y$17,0.25%),IF($D58&lt;=Y$4,CEILING(((Y$8-Y$7)/(Y$6-Y$5))*(ROW()-Y$5-ROW(Y$17)+1)+Y$7,0.25%),Y$8))</f>
        <v>0.5</v>
      </c>
      <c r="Z58" s="158">
        <f t="shared" si="35"/>
        <v>0.5</v>
      </c>
      <c r="AA58" s="158">
        <f t="shared" si="35"/>
        <v>0.5</v>
      </c>
      <c r="AB58" s="158">
        <f t="shared" ref="AB58:AD67" si="36">IF($D58&lt;=AB$3,CEILING(((AB$7-AB$17)/(AB$5-1))*(ROW()-ROW(AB$17))+AB$17,0.25%),IF($D58&lt;=AB$4,CEILING(((AB$8-AB$7)/(AB$6-AB$5))*(ROW()-AB$5-ROW(AB$17)+1)+AB$7,0.25%),AB$8))</f>
        <v>0.5</v>
      </c>
      <c r="AC58" s="158">
        <f t="shared" si="36"/>
        <v>0.375</v>
      </c>
      <c r="AD58" s="158">
        <f t="shared" si="36"/>
        <v>0.5</v>
      </c>
      <c r="AE58" s="194"/>
    </row>
    <row r="59" spans="2:31" x14ac:dyDescent="0.2">
      <c r="B59" s="185">
        <v>15000000</v>
      </c>
      <c r="C59" s="212">
        <v>0</v>
      </c>
      <c r="D59" s="185">
        <v>30000000</v>
      </c>
      <c r="E59" s="160">
        <f t="shared" si="33"/>
        <v>0.4</v>
      </c>
      <c r="F59" s="160">
        <f t="shared" si="33"/>
        <v>0</v>
      </c>
      <c r="G59" s="160">
        <f t="shared" si="33"/>
        <v>0.5</v>
      </c>
      <c r="H59" s="158">
        <f t="shared" si="33"/>
        <v>0.5</v>
      </c>
      <c r="I59" s="158">
        <f t="shared" si="33"/>
        <v>0.5</v>
      </c>
      <c r="J59" s="158">
        <f t="shared" si="33"/>
        <v>0.5</v>
      </c>
      <c r="K59" s="158">
        <f t="shared" si="33"/>
        <v>0.4</v>
      </c>
      <c r="L59" s="158">
        <f t="shared" si="33"/>
        <v>0.4</v>
      </c>
      <c r="M59" s="158">
        <f t="shared" si="33"/>
        <v>0.5</v>
      </c>
      <c r="N59" s="158">
        <f t="shared" si="33"/>
        <v>0.5</v>
      </c>
      <c r="O59" s="158">
        <f t="shared" si="33"/>
        <v>0.5</v>
      </c>
      <c r="P59" s="158">
        <f t="shared" si="33"/>
        <v>0.4</v>
      </c>
      <c r="Q59" s="158">
        <f t="shared" si="33"/>
        <v>0.5</v>
      </c>
      <c r="R59" s="158">
        <f t="shared" si="33"/>
        <v>0.5</v>
      </c>
      <c r="S59" s="158">
        <f t="shared" si="33"/>
        <v>0.5</v>
      </c>
      <c r="T59" s="158">
        <f t="shared" si="33"/>
        <v>0.5</v>
      </c>
      <c r="U59" s="158">
        <f t="shared" si="33"/>
        <v>0.5</v>
      </c>
      <c r="V59" s="158">
        <f t="shared" si="33"/>
        <v>0.5</v>
      </c>
      <c r="W59" s="158">
        <f t="shared" si="34"/>
        <v>0.5</v>
      </c>
      <c r="X59" s="158">
        <f t="shared" si="34"/>
        <v>0.5</v>
      </c>
      <c r="Y59" s="158">
        <f t="shared" si="35"/>
        <v>0.5</v>
      </c>
      <c r="Z59" s="158">
        <f t="shared" si="35"/>
        <v>0.5</v>
      </c>
      <c r="AA59" s="158">
        <f t="shared" si="35"/>
        <v>0.5</v>
      </c>
      <c r="AB59" s="158">
        <f t="shared" si="36"/>
        <v>0.5</v>
      </c>
      <c r="AC59" s="158">
        <f t="shared" si="36"/>
        <v>0.375</v>
      </c>
      <c r="AD59" s="158">
        <f t="shared" si="36"/>
        <v>0.5</v>
      </c>
      <c r="AE59" s="194"/>
    </row>
    <row r="60" spans="2:31" x14ac:dyDescent="0.2">
      <c r="B60" s="185">
        <v>16000000</v>
      </c>
      <c r="C60" s="212">
        <v>0</v>
      </c>
      <c r="D60" s="185">
        <v>35000000</v>
      </c>
      <c r="E60" s="160">
        <f t="shared" si="33"/>
        <v>0.4</v>
      </c>
      <c r="F60" s="160">
        <f t="shared" si="33"/>
        <v>0</v>
      </c>
      <c r="G60" s="160">
        <f t="shared" si="33"/>
        <v>0.5</v>
      </c>
      <c r="H60" s="158">
        <f t="shared" si="33"/>
        <v>0.5</v>
      </c>
      <c r="I60" s="158">
        <f t="shared" si="33"/>
        <v>0.5</v>
      </c>
      <c r="J60" s="158">
        <f t="shared" si="33"/>
        <v>0.5</v>
      </c>
      <c r="K60" s="158">
        <f t="shared" si="33"/>
        <v>0.4</v>
      </c>
      <c r="L60" s="158">
        <f t="shared" si="33"/>
        <v>0.4</v>
      </c>
      <c r="M60" s="158">
        <f t="shared" si="33"/>
        <v>0.5</v>
      </c>
      <c r="N60" s="158">
        <f t="shared" si="33"/>
        <v>0.5</v>
      </c>
      <c r="O60" s="158">
        <f t="shared" si="33"/>
        <v>0.5</v>
      </c>
      <c r="P60" s="158">
        <f t="shared" si="33"/>
        <v>0.4</v>
      </c>
      <c r="Q60" s="158">
        <f t="shared" si="33"/>
        <v>0.5</v>
      </c>
      <c r="R60" s="158">
        <f t="shared" si="33"/>
        <v>0.5</v>
      </c>
      <c r="S60" s="158">
        <f t="shared" si="33"/>
        <v>0.5</v>
      </c>
      <c r="T60" s="158">
        <f t="shared" si="33"/>
        <v>0.5</v>
      </c>
      <c r="U60" s="158">
        <f t="shared" si="33"/>
        <v>0.5</v>
      </c>
      <c r="V60" s="158">
        <f t="shared" si="33"/>
        <v>0.5</v>
      </c>
      <c r="W60" s="158">
        <f t="shared" si="34"/>
        <v>0.5</v>
      </c>
      <c r="X60" s="158">
        <f t="shared" si="34"/>
        <v>0.5</v>
      </c>
      <c r="Y60" s="158">
        <f t="shared" si="35"/>
        <v>0.5</v>
      </c>
      <c r="Z60" s="158">
        <f t="shared" si="35"/>
        <v>0.5</v>
      </c>
      <c r="AA60" s="158">
        <f t="shared" si="35"/>
        <v>0.5</v>
      </c>
      <c r="AB60" s="158">
        <f t="shared" si="36"/>
        <v>0.5</v>
      </c>
      <c r="AC60" s="158">
        <f t="shared" si="36"/>
        <v>0.375</v>
      </c>
      <c r="AD60" s="158">
        <f t="shared" si="36"/>
        <v>0.5</v>
      </c>
      <c r="AE60" s="194"/>
    </row>
    <row r="61" spans="2:31" x14ac:dyDescent="0.2">
      <c r="B61" s="185">
        <v>17000000</v>
      </c>
      <c r="C61" s="212">
        <v>0</v>
      </c>
      <c r="D61" s="185">
        <v>40000000</v>
      </c>
      <c r="E61" s="160">
        <f t="shared" si="33"/>
        <v>0.4</v>
      </c>
      <c r="F61" s="160">
        <f t="shared" si="33"/>
        <v>0</v>
      </c>
      <c r="G61" s="160">
        <f t="shared" si="33"/>
        <v>0.5</v>
      </c>
      <c r="H61" s="158">
        <f t="shared" si="33"/>
        <v>0.5</v>
      </c>
      <c r="I61" s="158">
        <f t="shared" si="33"/>
        <v>0.5</v>
      </c>
      <c r="J61" s="158">
        <f t="shared" si="33"/>
        <v>0.5</v>
      </c>
      <c r="K61" s="158">
        <f t="shared" si="33"/>
        <v>0.4</v>
      </c>
      <c r="L61" s="158">
        <f t="shared" si="33"/>
        <v>0.4</v>
      </c>
      <c r="M61" s="158">
        <f t="shared" si="33"/>
        <v>0.5</v>
      </c>
      <c r="N61" s="158">
        <f t="shared" si="33"/>
        <v>0.5</v>
      </c>
      <c r="O61" s="158">
        <f t="shared" si="33"/>
        <v>0.5</v>
      </c>
      <c r="P61" s="158">
        <f t="shared" si="33"/>
        <v>0.4</v>
      </c>
      <c r="Q61" s="158">
        <f t="shared" si="33"/>
        <v>0.5</v>
      </c>
      <c r="R61" s="158">
        <f t="shared" si="33"/>
        <v>0.5</v>
      </c>
      <c r="S61" s="158">
        <f t="shared" si="33"/>
        <v>0.5</v>
      </c>
      <c r="T61" s="158">
        <f t="shared" si="33"/>
        <v>0.5</v>
      </c>
      <c r="U61" s="158">
        <f t="shared" si="33"/>
        <v>0.5</v>
      </c>
      <c r="V61" s="158">
        <f t="shared" si="33"/>
        <v>0.5</v>
      </c>
      <c r="W61" s="158">
        <f t="shared" si="34"/>
        <v>0.5</v>
      </c>
      <c r="X61" s="158">
        <f t="shared" si="34"/>
        <v>0.5</v>
      </c>
      <c r="Y61" s="158">
        <f t="shared" si="35"/>
        <v>0.5</v>
      </c>
      <c r="Z61" s="158">
        <f t="shared" si="35"/>
        <v>0.5</v>
      </c>
      <c r="AA61" s="158">
        <f t="shared" si="35"/>
        <v>0.5</v>
      </c>
      <c r="AB61" s="158">
        <f t="shared" si="36"/>
        <v>0.5</v>
      </c>
      <c r="AC61" s="158">
        <f t="shared" si="36"/>
        <v>0.375</v>
      </c>
      <c r="AD61" s="158">
        <f t="shared" si="36"/>
        <v>0.5</v>
      </c>
      <c r="AE61" s="194"/>
    </row>
    <row r="62" spans="2:31" x14ac:dyDescent="0.2">
      <c r="B62" s="185">
        <v>18000000</v>
      </c>
      <c r="C62" s="212">
        <v>0</v>
      </c>
      <c r="D62" s="185">
        <v>50000000</v>
      </c>
      <c r="E62" s="160">
        <f t="shared" si="33"/>
        <v>0.4</v>
      </c>
      <c r="F62" s="160">
        <f t="shared" si="33"/>
        <v>0</v>
      </c>
      <c r="G62" s="160">
        <f t="shared" si="33"/>
        <v>0.5</v>
      </c>
      <c r="H62" s="158">
        <f t="shared" si="33"/>
        <v>0.5</v>
      </c>
      <c r="I62" s="158">
        <f t="shared" si="33"/>
        <v>0.5</v>
      </c>
      <c r="J62" s="158">
        <f t="shared" si="33"/>
        <v>0.5</v>
      </c>
      <c r="K62" s="158">
        <f t="shared" si="33"/>
        <v>0.4</v>
      </c>
      <c r="L62" s="158">
        <f t="shared" si="33"/>
        <v>0.4</v>
      </c>
      <c r="M62" s="158">
        <f t="shared" si="33"/>
        <v>0.5</v>
      </c>
      <c r="N62" s="158">
        <f t="shared" si="33"/>
        <v>0.5</v>
      </c>
      <c r="O62" s="158">
        <f t="shared" si="33"/>
        <v>0.5</v>
      </c>
      <c r="P62" s="158">
        <f t="shared" si="33"/>
        <v>0.4</v>
      </c>
      <c r="Q62" s="158">
        <f t="shared" si="33"/>
        <v>0.5</v>
      </c>
      <c r="R62" s="158">
        <f t="shared" si="33"/>
        <v>0.5</v>
      </c>
      <c r="S62" s="158">
        <f t="shared" si="33"/>
        <v>0.5</v>
      </c>
      <c r="T62" s="158">
        <f t="shared" si="33"/>
        <v>0.5</v>
      </c>
      <c r="U62" s="158">
        <f t="shared" si="33"/>
        <v>0.5</v>
      </c>
      <c r="V62" s="158">
        <f t="shared" si="33"/>
        <v>0.5</v>
      </c>
      <c r="W62" s="158">
        <f t="shared" si="34"/>
        <v>0.5</v>
      </c>
      <c r="X62" s="158">
        <f t="shared" si="34"/>
        <v>0.5</v>
      </c>
      <c r="Y62" s="158">
        <f t="shared" si="35"/>
        <v>0.5</v>
      </c>
      <c r="Z62" s="158">
        <f t="shared" si="35"/>
        <v>0.5</v>
      </c>
      <c r="AA62" s="158">
        <f t="shared" si="35"/>
        <v>0.5</v>
      </c>
      <c r="AB62" s="158">
        <f t="shared" si="36"/>
        <v>0.5</v>
      </c>
      <c r="AC62" s="158">
        <f t="shared" si="36"/>
        <v>0.375</v>
      </c>
      <c r="AD62" s="158">
        <f t="shared" si="36"/>
        <v>0.5</v>
      </c>
      <c r="AE62" s="194"/>
    </row>
    <row r="63" spans="2:31" x14ac:dyDescent="0.2">
      <c r="B63" s="185">
        <v>19000000</v>
      </c>
      <c r="C63" s="212">
        <v>0</v>
      </c>
      <c r="D63" s="185">
        <v>60000000</v>
      </c>
      <c r="E63" s="160">
        <f t="shared" si="33"/>
        <v>0.4</v>
      </c>
      <c r="F63" s="160">
        <f t="shared" si="33"/>
        <v>0</v>
      </c>
      <c r="G63" s="160">
        <f t="shared" si="33"/>
        <v>0.5</v>
      </c>
      <c r="H63" s="158">
        <f t="shared" si="33"/>
        <v>0.5</v>
      </c>
      <c r="I63" s="158">
        <f t="shared" si="33"/>
        <v>0.5</v>
      </c>
      <c r="J63" s="158">
        <f t="shared" si="33"/>
        <v>0.5</v>
      </c>
      <c r="K63" s="158">
        <f t="shared" si="33"/>
        <v>0.4</v>
      </c>
      <c r="L63" s="158">
        <f t="shared" si="33"/>
        <v>0.4</v>
      </c>
      <c r="M63" s="158">
        <f t="shared" si="33"/>
        <v>0.5</v>
      </c>
      <c r="N63" s="158">
        <f t="shared" si="33"/>
        <v>0.5</v>
      </c>
      <c r="O63" s="158">
        <f t="shared" si="33"/>
        <v>0.5</v>
      </c>
      <c r="P63" s="158">
        <f t="shared" si="33"/>
        <v>0.4</v>
      </c>
      <c r="Q63" s="158">
        <f t="shared" si="33"/>
        <v>0.5</v>
      </c>
      <c r="R63" s="158">
        <f t="shared" si="33"/>
        <v>0.5</v>
      </c>
      <c r="S63" s="158">
        <f t="shared" si="33"/>
        <v>0.5</v>
      </c>
      <c r="T63" s="158">
        <f t="shared" si="33"/>
        <v>0.5</v>
      </c>
      <c r="U63" s="158">
        <f t="shared" si="33"/>
        <v>0.5</v>
      </c>
      <c r="V63" s="158">
        <f t="shared" si="33"/>
        <v>0.5</v>
      </c>
      <c r="W63" s="158">
        <f t="shared" si="34"/>
        <v>0.5</v>
      </c>
      <c r="X63" s="158">
        <f t="shared" si="34"/>
        <v>0.5</v>
      </c>
      <c r="Y63" s="158">
        <f t="shared" si="35"/>
        <v>0.5</v>
      </c>
      <c r="Z63" s="158">
        <f t="shared" si="35"/>
        <v>0.5</v>
      </c>
      <c r="AA63" s="158">
        <f t="shared" si="35"/>
        <v>0.5</v>
      </c>
      <c r="AB63" s="158">
        <f t="shared" si="36"/>
        <v>0.5</v>
      </c>
      <c r="AC63" s="158">
        <f t="shared" si="36"/>
        <v>0.375</v>
      </c>
      <c r="AD63" s="158">
        <f t="shared" si="36"/>
        <v>0.5</v>
      </c>
      <c r="AE63" s="194"/>
    </row>
    <row r="64" spans="2:31" x14ac:dyDescent="0.2">
      <c r="B64" s="185">
        <v>20000000</v>
      </c>
      <c r="C64" s="212">
        <v>0</v>
      </c>
      <c r="D64" s="185">
        <v>70000000</v>
      </c>
      <c r="E64" s="160">
        <f t="shared" si="33"/>
        <v>0.4</v>
      </c>
      <c r="F64" s="160">
        <f t="shared" si="33"/>
        <v>0</v>
      </c>
      <c r="G64" s="160">
        <f t="shared" si="33"/>
        <v>0.5</v>
      </c>
      <c r="H64" s="158">
        <f t="shared" si="33"/>
        <v>0.5</v>
      </c>
      <c r="I64" s="158">
        <f t="shared" si="33"/>
        <v>0.5</v>
      </c>
      <c r="J64" s="158">
        <f t="shared" si="33"/>
        <v>0.5</v>
      </c>
      <c r="K64" s="158">
        <f t="shared" si="33"/>
        <v>0.4</v>
      </c>
      <c r="L64" s="158">
        <f t="shared" si="33"/>
        <v>0.4</v>
      </c>
      <c r="M64" s="158">
        <f t="shared" si="33"/>
        <v>0.5</v>
      </c>
      <c r="N64" s="158">
        <f t="shared" si="33"/>
        <v>0.5</v>
      </c>
      <c r="O64" s="158">
        <f t="shared" si="33"/>
        <v>0.5</v>
      </c>
      <c r="P64" s="158">
        <f t="shared" si="33"/>
        <v>0.4</v>
      </c>
      <c r="Q64" s="158">
        <f t="shared" si="33"/>
        <v>0.5</v>
      </c>
      <c r="R64" s="158">
        <f t="shared" si="33"/>
        <v>0.5</v>
      </c>
      <c r="S64" s="158">
        <f t="shared" si="33"/>
        <v>0.5</v>
      </c>
      <c r="T64" s="158">
        <f t="shared" si="33"/>
        <v>0.5</v>
      </c>
      <c r="U64" s="158">
        <f t="shared" si="33"/>
        <v>0.5</v>
      </c>
      <c r="V64" s="158">
        <f t="shared" si="33"/>
        <v>0.5</v>
      </c>
      <c r="W64" s="158">
        <f t="shared" si="34"/>
        <v>0.5</v>
      </c>
      <c r="X64" s="158">
        <f t="shared" si="34"/>
        <v>0.5</v>
      </c>
      <c r="Y64" s="158">
        <f t="shared" si="35"/>
        <v>0.5</v>
      </c>
      <c r="Z64" s="158">
        <f t="shared" si="35"/>
        <v>0.5</v>
      </c>
      <c r="AA64" s="158">
        <f t="shared" si="35"/>
        <v>0.5</v>
      </c>
      <c r="AB64" s="158">
        <f t="shared" si="36"/>
        <v>0.5</v>
      </c>
      <c r="AC64" s="158">
        <f t="shared" si="36"/>
        <v>0.375</v>
      </c>
      <c r="AD64" s="158">
        <f t="shared" si="36"/>
        <v>0.5</v>
      </c>
      <c r="AE64" s="194"/>
    </row>
    <row r="65" spans="2:31" x14ac:dyDescent="0.2">
      <c r="B65" s="185">
        <v>21000000</v>
      </c>
      <c r="C65" s="212">
        <v>0</v>
      </c>
      <c r="D65" s="185">
        <v>80000000</v>
      </c>
      <c r="E65" s="160">
        <f t="shared" si="33"/>
        <v>0.4</v>
      </c>
      <c r="F65" s="160">
        <f t="shared" si="33"/>
        <v>0</v>
      </c>
      <c r="G65" s="160">
        <f t="shared" si="33"/>
        <v>0.5</v>
      </c>
      <c r="H65" s="158">
        <f t="shared" si="33"/>
        <v>0.5</v>
      </c>
      <c r="I65" s="158">
        <f t="shared" si="33"/>
        <v>0.5</v>
      </c>
      <c r="J65" s="158">
        <f t="shared" si="33"/>
        <v>0.5</v>
      </c>
      <c r="K65" s="158">
        <f t="shared" si="33"/>
        <v>0.4</v>
      </c>
      <c r="L65" s="158">
        <f t="shared" si="33"/>
        <v>0.4</v>
      </c>
      <c r="M65" s="158">
        <f t="shared" si="33"/>
        <v>0.5</v>
      </c>
      <c r="N65" s="158">
        <f t="shared" si="33"/>
        <v>0.5</v>
      </c>
      <c r="O65" s="158">
        <f t="shared" si="33"/>
        <v>0.5</v>
      </c>
      <c r="P65" s="158">
        <f t="shared" si="33"/>
        <v>0.4</v>
      </c>
      <c r="Q65" s="158">
        <f t="shared" si="33"/>
        <v>0.5</v>
      </c>
      <c r="R65" s="158">
        <f t="shared" si="33"/>
        <v>0.5</v>
      </c>
      <c r="S65" s="158">
        <f t="shared" si="33"/>
        <v>0.5</v>
      </c>
      <c r="T65" s="158">
        <f t="shared" si="33"/>
        <v>0.5</v>
      </c>
      <c r="U65" s="158">
        <f t="shared" si="33"/>
        <v>0.5</v>
      </c>
      <c r="V65" s="158">
        <f t="shared" si="33"/>
        <v>0.5</v>
      </c>
      <c r="W65" s="158">
        <f t="shared" si="34"/>
        <v>0.5</v>
      </c>
      <c r="X65" s="158">
        <f t="shared" si="34"/>
        <v>0.5</v>
      </c>
      <c r="Y65" s="158">
        <f t="shared" si="35"/>
        <v>0.5</v>
      </c>
      <c r="Z65" s="158">
        <f t="shared" si="35"/>
        <v>0.5</v>
      </c>
      <c r="AA65" s="158">
        <f t="shared" si="35"/>
        <v>0.5</v>
      </c>
      <c r="AB65" s="158">
        <f t="shared" si="36"/>
        <v>0.5</v>
      </c>
      <c r="AC65" s="158">
        <f t="shared" si="36"/>
        <v>0.375</v>
      </c>
      <c r="AD65" s="158">
        <f t="shared" si="36"/>
        <v>0.5</v>
      </c>
      <c r="AE65" s="194"/>
    </row>
    <row r="66" spans="2:31" x14ac:dyDescent="0.2">
      <c r="B66" s="185">
        <v>22000000</v>
      </c>
      <c r="C66" s="212">
        <v>0</v>
      </c>
      <c r="D66" s="185">
        <v>90000000</v>
      </c>
      <c r="E66" s="160">
        <f t="shared" si="33"/>
        <v>0.4</v>
      </c>
      <c r="F66" s="160">
        <f t="shared" si="33"/>
        <v>0</v>
      </c>
      <c r="G66" s="160">
        <f t="shared" si="33"/>
        <v>0.5</v>
      </c>
      <c r="H66" s="158">
        <f t="shared" si="33"/>
        <v>0.5</v>
      </c>
      <c r="I66" s="158">
        <f t="shared" si="33"/>
        <v>0.5</v>
      </c>
      <c r="J66" s="158">
        <f t="shared" si="33"/>
        <v>0.5</v>
      </c>
      <c r="K66" s="158">
        <f t="shared" si="33"/>
        <v>0.4</v>
      </c>
      <c r="L66" s="158">
        <f t="shared" si="33"/>
        <v>0.4</v>
      </c>
      <c r="M66" s="158">
        <f t="shared" si="33"/>
        <v>0.5</v>
      </c>
      <c r="N66" s="158">
        <f t="shared" si="33"/>
        <v>0.5</v>
      </c>
      <c r="O66" s="158">
        <f t="shared" si="33"/>
        <v>0.5</v>
      </c>
      <c r="P66" s="158">
        <f t="shared" si="33"/>
        <v>0.4</v>
      </c>
      <c r="Q66" s="158">
        <f t="shared" si="33"/>
        <v>0.5</v>
      </c>
      <c r="R66" s="158">
        <f t="shared" si="33"/>
        <v>0.5</v>
      </c>
      <c r="S66" s="158">
        <f t="shared" si="33"/>
        <v>0.5</v>
      </c>
      <c r="T66" s="158">
        <f t="shared" si="33"/>
        <v>0.5</v>
      </c>
      <c r="U66" s="158">
        <f t="shared" si="33"/>
        <v>0.5</v>
      </c>
      <c r="V66" s="158">
        <f t="shared" si="33"/>
        <v>0.5</v>
      </c>
      <c r="W66" s="158">
        <f t="shared" si="34"/>
        <v>0.5</v>
      </c>
      <c r="X66" s="158">
        <f t="shared" si="34"/>
        <v>0.5</v>
      </c>
      <c r="Y66" s="158">
        <f t="shared" si="35"/>
        <v>0.5</v>
      </c>
      <c r="Z66" s="158">
        <f t="shared" si="35"/>
        <v>0.5</v>
      </c>
      <c r="AA66" s="158">
        <f t="shared" si="35"/>
        <v>0.5</v>
      </c>
      <c r="AB66" s="158">
        <f t="shared" si="36"/>
        <v>0.5</v>
      </c>
      <c r="AC66" s="158">
        <f t="shared" si="36"/>
        <v>0.375</v>
      </c>
      <c r="AD66" s="158">
        <f t="shared" si="36"/>
        <v>0.5</v>
      </c>
      <c r="AE66" s="194"/>
    </row>
    <row r="67" spans="2:31" x14ac:dyDescent="0.2">
      <c r="B67" s="185">
        <v>23000000</v>
      </c>
      <c r="C67" s="212">
        <v>0</v>
      </c>
      <c r="D67" s="185">
        <v>100000000</v>
      </c>
      <c r="E67" s="160">
        <f t="shared" si="33"/>
        <v>0.4</v>
      </c>
      <c r="F67" s="160">
        <f t="shared" si="33"/>
        <v>0</v>
      </c>
      <c r="G67" s="160">
        <f t="shared" si="33"/>
        <v>0.5</v>
      </c>
      <c r="H67" s="158">
        <f t="shared" si="33"/>
        <v>0.5</v>
      </c>
      <c r="I67" s="158">
        <f t="shared" si="33"/>
        <v>0.5</v>
      </c>
      <c r="J67" s="158">
        <f t="shared" si="33"/>
        <v>0.5</v>
      </c>
      <c r="K67" s="158">
        <f t="shared" si="33"/>
        <v>0.4</v>
      </c>
      <c r="L67" s="158">
        <f t="shared" si="33"/>
        <v>0.4</v>
      </c>
      <c r="M67" s="158">
        <f t="shared" si="33"/>
        <v>0.5</v>
      </c>
      <c r="N67" s="158">
        <f t="shared" si="33"/>
        <v>0.5</v>
      </c>
      <c r="O67" s="158">
        <f t="shared" si="33"/>
        <v>0.5</v>
      </c>
      <c r="P67" s="158">
        <f t="shared" si="33"/>
        <v>0.4</v>
      </c>
      <c r="Q67" s="158">
        <f t="shared" si="33"/>
        <v>0.5</v>
      </c>
      <c r="R67" s="158">
        <f t="shared" si="33"/>
        <v>0.5</v>
      </c>
      <c r="S67" s="158">
        <f t="shared" si="33"/>
        <v>0.5</v>
      </c>
      <c r="T67" s="158">
        <f t="shared" si="33"/>
        <v>0.5</v>
      </c>
      <c r="U67" s="158">
        <f t="shared" si="33"/>
        <v>0.5</v>
      </c>
      <c r="V67" s="158">
        <f t="shared" si="33"/>
        <v>0.5</v>
      </c>
      <c r="W67" s="158">
        <f t="shared" si="34"/>
        <v>0.5</v>
      </c>
      <c r="X67" s="158">
        <f t="shared" si="34"/>
        <v>0.5</v>
      </c>
      <c r="Y67" s="158">
        <f t="shared" si="35"/>
        <v>0.5</v>
      </c>
      <c r="Z67" s="158">
        <f t="shared" si="35"/>
        <v>0.5</v>
      </c>
      <c r="AA67" s="158">
        <f t="shared" si="35"/>
        <v>0.5</v>
      </c>
      <c r="AB67" s="158">
        <f t="shared" si="36"/>
        <v>0.5</v>
      </c>
      <c r="AC67" s="158">
        <f t="shared" si="36"/>
        <v>0.375</v>
      </c>
      <c r="AD67" s="158">
        <f t="shared" si="36"/>
        <v>0.5</v>
      </c>
      <c r="AE67" s="194"/>
    </row>
    <row r="68" spans="2:31" x14ac:dyDescent="0.2">
      <c r="B68" s="185">
        <v>24000000</v>
      </c>
      <c r="C68" s="212">
        <v>0</v>
      </c>
      <c r="D68" s="185">
        <v>120000000</v>
      </c>
      <c r="E68" s="160">
        <f t="shared" ref="E68:V74" si="37">IF($D68&lt;=E$3,CEILING(((E$7-E$17)/(E$5-1))*(ROW()-ROW(E$17))+E$17,0.25%),IF($D68&lt;=E$4,CEILING(((E$8-E$7)/(E$6-E$5))*(ROW()-E$5-ROW(E$17)+1)+E$7,0.25%),E$8))</f>
        <v>0.4</v>
      </c>
      <c r="F68" s="160">
        <f t="shared" si="37"/>
        <v>0</v>
      </c>
      <c r="G68" s="160">
        <f t="shared" si="37"/>
        <v>0.5</v>
      </c>
      <c r="H68" s="158">
        <f t="shared" si="37"/>
        <v>0.5</v>
      </c>
      <c r="I68" s="158">
        <f t="shared" si="37"/>
        <v>0.5</v>
      </c>
      <c r="J68" s="158">
        <f t="shared" si="37"/>
        <v>0.5</v>
      </c>
      <c r="K68" s="158">
        <f t="shared" si="37"/>
        <v>0.4</v>
      </c>
      <c r="L68" s="158">
        <f t="shared" si="37"/>
        <v>0.4</v>
      </c>
      <c r="M68" s="158">
        <f t="shared" si="37"/>
        <v>0.5</v>
      </c>
      <c r="N68" s="158">
        <f t="shared" si="37"/>
        <v>0.5</v>
      </c>
      <c r="O68" s="158">
        <f t="shared" si="37"/>
        <v>0.5</v>
      </c>
      <c r="P68" s="158">
        <f t="shared" si="37"/>
        <v>0.4</v>
      </c>
      <c r="Q68" s="158">
        <f t="shared" si="37"/>
        <v>0.5</v>
      </c>
      <c r="R68" s="158">
        <f t="shared" si="37"/>
        <v>0.5</v>
      </c>
      <c r="S68" s="158">
        <f t="shared" si="37"/>
        <v>0.5</v>
      </c>
      <c r="T68" s="158">
        <f t="shared" si="37"/>
        <v>0.5</v>
      </c>
      <c r="U68" s="158">
        <f t="shared" si="37"/>
        <v>0.5</v>
      </c>
      <c r="V68" s="158">
        <f t="shared" si="37"/>
        <v>0.5</v>
      </c>
      <c r="W68" s="158">
        <f t="shared" ref="W68:X74" si="38">IF($D68&lt;=W$3,CEILING(((W$7-W$17)/(W$5-1))*(ROW()-ROW(W$17))+W$17,0.25%),IF($D68&lt;=W$4,CEILING(((W$8-W$7)/(W$6-W$5))*(ROW()-W$5-ROW(W$17)+1)+W$7,0.25%),W$8))</f>
        <v>0.5</v>
      </c>
      <c r="X68" s="158">
        <f t="shared" si="38"/>
        <v>0.5</v>
      </c>
      <c r="Y68" s="158">
        <f t="shared" si="35"/>
        <v>0.5</v>
      </c>
      <c r="Z68" s="158">
        <f t="shared" si="35"/>
        <v>0.5</v>
      </c>
      <c r="AA68" s="158">
        <f t="shared" si="35"/>
        <v>0.5</v>
      </c>
      <c r="AB68" s="158">
        <f t="shared" ref="AB68:AD74" si="39">IF($D68&lt;=AB$3,CEILING(((AB$7-AB$17)/(AB$5-1))*(ROW()-ROW(AB$17))+AB$17,0.25%),IF($D68&lt;=AB$4,CEILING(((AB$8-AB$7)/(AB$6-AB$5))*(ROW()-AB$5-ROW(AB$17)+1)+AB$7,0.25%),AB$8))</f>
        <v>0.5</v>
      </c>
      <c r="AC68" s="158">
        <f t="shared" si="39"/>
        <v>0.375</v>
      </c>
      <c r="AD68" s="158">
        <f t="shared" si="39"/>
        <v>0.5</v>
      </c>
      <c r="AE68" s="194"/>
    </row>
    <row r="69" spans="2:31" x14ac:dyDescent="0.2">
      <c r="B69" s="185">
        <v>25000000</v>
      </c>
      <c r="C69" s="212">
        <v>0</v>
      </c>
      <c r="D69" s="185">
        <v>140000000</v>
      </c>
      <c r="E69" s="160">
        <f t="shared" si="37"/>
        <v>0.4</v>
      </c>
      <c r="F69" s="160">
        <f t="shared" si="37"/>
        <v>0</v>
      </c>
      <c r="G69" s="160">
        <f t="shared" si="37"/>
        <v>0.5</v>
      </c>
      <c r="H69" s="158">
        <f t="shared" si="37"/>
        <v>0.5</v>
      </c>
      <c r="I69" s="158">
        <f t="shared" si="37"/>
        <v>0.5</v>
      </c>
      <c r="J69" s="158">
        <f t="shared" si="37"/>
        <v>0.5</v>
      </c>
      <c r="K69" s="158">
        <f t="shared" si="37"/>
        <v>0.4</v>
      </c>
      <c r="L69" s="158">
        <f t="shared" si="37"/>
        <v>0.4</v>
      </c>
      <c r="M69" s="158">
        <f t="shared" si="37"/>
        <v>0.5</v>
      </c>
      <c r="N69" s="158">
        <f t="shared" si="37"/>
        <v>0.5</v>
      </c>
      <c r="O69" s="158">
        <f t="shared" si="37"/>
        <v>0.5</v>
      </c>
      <c r="P69" s="158">
        <f t="shared" si="37"/>
        <v>0.4</v>
      </c>
      <c r="Q69" s="158">
        <f t="shared" si="37"/>
        <v>0.5</v>
      </c>
      <c r="R69" s="158">
        <f t="shared" si="37"/>
        <v>0.5</v>
      </c>
      <c r="S69" s="158">
        <f t="shared" si="37"/>
        <v>0.5</v>
      </c>
      <c r="T69" s="158">
        <f t="shared" si="37"/>
        <v>0.5</v>
      </c>
      <c r="U69" s="158">
        <f t="shared" si="37"/>
        <v>0.5</v>
      </c>
      <c r="V69" s="158">
        <f t="shared" si="37"/>
        <v>0.5</v>
      </c>
      <c r="W69" s="158">
        <f t="shared" si="38"/>
        <v>0.5</v>
      </c>
      <c r="X69" s="158">
        <f t="shared" si="38"/>
        <v>0.5</v>
      </c>
      <c r="Y69" s="158">
        <f t="shared" si="35"/>
        <v>0.5</v>
      </c>
      <c r="Z69" s="158">
        <f t="shared" si="35"/>
        <v>0.5</v>
      </c>
      <c r="AA69" s="158">
        <f t="shared" si="35"/>
        <v>0.5</v>
      </c>
      <c r="AB69" s="158">
        <f t="shared" si="39"/>
        <v>0.5</v>
      </c>
      <c r="AC69" s="158">
        <f t="shared" si="39"/>
        <v>0.375</v>
      </c>
      <c r="AD69" s="158">
        <f t="shared" si="39"/>
        <v>0.5</v>
      </c>
      <c r="AE69" s="194"/>
    </row>
    <row r="70" spans="2:31" x14ac:dyDescent="0.2">
      <c r="B70" s="185">
        <v>27500000</v>
      </c>
      <c r="C70" s="212">
        <v>0</v>
      </c>
      <c r="D70" s="185">
        <v>160000000</v>
      </c>
      <c r="E70" s="160">
        <f t="shared" si="37"/>
        <v>0.4</v>
      </c>
      <c r="F70" s="160">
        <f t="shared" si="37"/>
        <v>0</v>
      </c>
      <c r="G70" s="160">
        <f t="shared" si="37"/>
        <v>0.5</v>
      </c>
      <c r="H70" s="158">
        <f t="shared" si="37"/>
        <v>0.5</v>
      </c>
      <c r="I70" s="158">
        <f t="shared" si="37"/>
        <v>0.5</v>
      </c>
      <c r="J70" s="158">
        <f t="shared" si="37"/>
        <v>0.5</v>
      </c>
      <c r="K70" s="158">
        <f t="shared" si="37"/>
        <v>0.4</v>
      </c>
      <c r="L70" s="158">
        <f t="shared" si="37"/>
        <v>0.4</v>
      </c>
      <c r="M70" s="158">
        <f t="shared" si="37"/>
        <v>0.5</v>
      </c>
      <c r="N70" s="158">
        <f t="shared" si="37"/>
        <v>0.5</v>
      </c>
      <c r="O70" s="158">
        <f t="shared" si="37"/>
        <v>0.5</v>
      </c>
      <c r="P70" s="158">
        <f t="shared" si="37"/>
        <v>0.4</v>
      </c>
      <c r="Q70" s="158">
        <f t="shared" si="37"/>
        <v>0.5</v>
      </c>
      <c r="R70" s="158">
        <f t="shared" si="37"/>
        <v>0.5</v>
      </c>
      <c r="S70" s="158">
        <f t="shared" si="37"/>
        <v>0.5</v>
      </c>
      <c r="T70" s="158">
        <f t="shared" si="37"/>
        <v>0.5</v>
      </c>
      <c r="U70" s="158">
        <f t="shared" si="37"/>
        <v>0.5</v>
      </c>
      <c r="V70" s="158">
        <f t="shared" si="37"/>
        <v>0.5</v>
      </c>
      <c r="W70" s="158">
        <f t="shared" si="38"/>
        <v>0.5</v>
      </c>
      <c r="X70" s="158">
        <f t="shared" si="38"/>
        <v>0.5</v>
      </c>
      <c r="Y70" s="158">
        <f t="shared" si="35"/>
        <v>0.5</v>
      </c>
      <c r="Z70" s="158">
        <f t="shared" si="35"/>
        <v>0.5</v>
      </c>
      <c r="AA70" s="158">
        <f t="shared" si="35"/>
        <v>0.5</v>
      </c>
      <c r="AB70" s="158">
        <f t="shared" si="39"/>
        <v>0.5</v>
      </c>
      <c r="AC70" s="158">
        <f t="shared" si="39"/>
        <v>0.375</v>
      </c>
      <c r="AD70" s="158">
        <f t="shared" si="39"/>
        <v>0.5</v>
      </c>
      <c r="AE70" s="194"/>
    </row>
    <row r="71" spans="2:31" x14ac:dyDescent="0.2">
      <c r="B71" s="185">
        <v>30000000</v>
      </c>
      <c r="C71" s="212">
        <v>0</v>
      </c>
      <c r="D71" s="185">
        <v>180000000</v>
      </c>
      <c r="E71" s="160">
        <f t="shared" si="37"/>
        <v>0.4</v>
      </c>
      <c r="F71" s="160">
        <f t="shared" si="37"/>
        <v>0</v>
      </c>
      <c r="G71" s="160">
        <f t="shared" si="37"/>
        <v>0.5</v>
      </c>
      <c r="H71" s="158">
        <f t="shared" si="37"/>
        <v>0.5</v>
      </c>
      <c r="I71" s="158">
        <f t="shared" si="37"/>
        <v>0.5</v>
      </c>
      <c r="J71" s="158">
        <f t="shared" si="37"/>
        <v>0.5</v>
      </c>
      <c r="K71" s="158">
        <f t="shared" si="37"/>
        <v>0.4</v>
      </c>
      <c r="L71" s="158">
        <f t="shared" si="37"/>
        <v>0.4</v>
      </c>
      <c r="M71" s="158">
        <f t="shared" si="37"/>
        <v>0.5</v>
      </c>
      <c r="N71" s="158">
        <f t="shared" si="37"/>
        <v>0.5</v>
      </c>
      <c r="O71" s="158">
        <f t="shared" si="37"/>
        <v>0.5</v>
      </c>
      <c r="P71" s="158">
        <f t="shared" si="37"/>
        <v>0.4</v>
      </c>
      <c r="Q71" s="158">
        <f t="shared" si="37"/>
        <v>0.5</v>
      </c>
      <c r="R71" s="158">
        <f t="shared" si="37"/>
        <v>0.5</v>
      </c>
      <c r="S71" s="158">
        <f t="shared" si="37"/>
        <v>0.5</v>
      </c>
      <c r="T71" s="158">
        <f t="shared" si="37"/>
        <v>0.5</v>
      </c>
      <c r="U71" s="158">
        <f t="shared" si="37"/>
        <v>0.5</v>
      </c>
      <c r="V71" s="158">
        <f t="shared" si="37"/>
        <v>0.5</v>
      </c>
      <c r="W71" s="158">
        <f t="shared" si="38"/>
        <v>0.5</v>
      </c>
      <c r="X71" s="158">
        <f t="shared" si="38"/>
        <v>0.5</v>
      </c>
      <c r="Y71" s="158">
        <f t="shared" si="35"/>
        <v>0.5</v>
      </c>
      <c r="Z71" s="158">
        <f t="shared" si="35"/>
        <v>0.5</v>
      </c>
      <c r="AA71" s="158">
        <f t="shared" si="35"/>
        <v>0.5</v>
      </c>
      <c r="AB71" s="158">
        <f t="shared" si="39"/>
        <v>0.5</v>
      </c>
      <c r="AC71" s="158">
        <f t="shared" si="39"/>
        <v>0.375</v>
      </c>
      <c r="AD71" s="158">
        <f t="shared" si="39"/>
        <v>0.5</v>
      </c>
      <c r="AE71" s="194"/>
    </row>
    <row r="72" spans="2:31" x14ac:dyDescent="0.2">
      <c r="B72" s="185">
        <v>32500000</v>
      </c>
      <c r="C72" s="212">
        <v>0</v>
      </c>
      <c r="D72" s="185">
        <v>200000000</v>
      </c>
      <c r="E72" s="160">
        <f t="shared" si="37"/>
        <v>0.4</v>
      </c>
      <c r="F72" s="160">
        <f t="shared" si="37"/>
        <v>0</v>
      </c>
      <c r="G72" s="160">
        <f t="shared" si="37"/>
        <v>0.5</v>
      </c>
      <c r="H72" s="158">
        <f t="shared" si="37"/>
        <v>0.5</v>
      </c>
      <c r="I72" s="158">
        <f t="shared" si="37"/>
        <v>0.5</v>
      </c>
      <c r="J72" s="158">
        <f t="shared" si="37"/>
        <v>0.5</v>
      </c>
      <c r="K72" s="158">
        <f t="shared" si="37"/>
        <v>0.4</v>
      </c>
      <c r="L72" s="158">
        <f t="shared" si="37"/>
        <v>0.4</v>
      </c>
      <c r="M72" s="158">
        <f t="shared" si="37"/>
        <v>0.5</v>
      </c>
      <c r="N72" s="158">
        <f t="shared" si="37"/>
        <v>0.5</v>
      </c>
      <c r="O72" s="158">
        <f t="shared" si="37"/>
        <v>0.5</v>
      </c>
      <c r="P72" s="158">
        <f t="shared" si="37"/>
        <v>0.4</v>
      </c>
      <c r="Q72" s="158">
        <f t="shared" si="37"/>
        <v>0.5</v>
      </c>
      <c r="R72" s="158">
        <f t="shared" si="37"/>
        <v>0.5</v>
      </c>
      <c r="S72" s="158">
        <f t="shared" si="37"/>
        <v>0.5</v>
      </c>
      <c r="T72" s="158">
        <f t="shared" si="37"/>
        <v>0.5</v>
      </c>
      <c r="U72" s="158">
        <f t="shared" si="37"/>
        <v>0.5</v>
      </c>
      <c r="V72" s="158">
        <f t="shared" si="37"/>
        <v>0.5</v>
      </c>
      <c r="W72" s="158">
        <f t="shared" si="38"/>
        <v>0.5</v>
      </c>
      <c r="X72" s="158">
        <f t="shared" si="38"/>
        <v>0.5</v>
      </c>
      <c r="Y72" s="158">
        <f t="shared" si="35"/>
        <v>0.5</v>
      </c>
      <c r="Z72" s="158">
        <f t="shared" si="35"/>
        <v>0.5</v>
      </c>
      <c r="AA72" s="158">
        <f t="shared" si="35"/>
        <v>0.5</v>
      </c>
      <c r="AB72" s="158">
        <f t="shared" si="39"/>
        <v>0.5</v>
      </c>
      <c r="AC72" s="158">
        <f t="shared" si="39"/>
        <v>0.375</v>
      </c>
      <c r="AD72" s="158">
        <f t="shared" si="39"/>
        <v>0.5</v>
      </c>
      <c r="AE72" s="194"/>
    </row>
    <row r="73" spans="2:31" x14ac:dyDescent="0.2">
      <c r="B73" s="185">
        <v>35000000</v>
      </c>
      <c r="C73" s="212">
        <v>0</v>
      </c>
      <c r="D73" s="185">
        <v>225000000</v>
      </c>
      <c r="E73" s="160">
        <f t="shared" si="37"/>
        <v>0.4</v>
      </c>
      <c r="F73" s="160">
        <f t="shared" si="37"/>
        <v>0</v>
      </c>
      <c r="G73" s="160">
        <f t="shared" si="37"/>
        <v>0.5</v>
      </c>
      <c r="H73" s="158">
        <f t="shared" si="37"/>
        <v>0.5</v>
      </c>
      <c r="I73" s="158">
        <f t="shared" si="37"/>
        <v>0.5</v>
      </c>
      <c r="J73" s="158">
        <f t="shared" si="37"/>
        <v>0.5</v>
      </c>
      <c r="K73" s="158">
        <f t="shared" si="37"/>
        <v>0.4</v>
      </c>
      <c r="L73" s="158">
        <f t="shared" si="37"/>
        <v>0.4</v>
      </c>
      <c r="M73" s="158">
        <f t="shared" si="37"/>
        <v>0.5</v>
      </c>
      <c r="N73" s="158">
        <f t="shared" si="37"/>
        <v>0.5</v>
      </c>
      <c r="O73" s="158">
        <f t="shared" si="37"/>
        <v>0.5</v>
      </c>
      <c r="P73" s="158">
        <f t="shared" si="37"/>
        <v>0.4</v>
      </c>
      <c r="Q73" s="158">
        <f t="shared" si="37"/>
        <v>0.5</v>
      </c>
      <c r="R73" s="158">
        <f t="shared" si="37"/>
        <v>0.5</v>
      </c>
      <c r="S73" s="158">
        <f t="shared" si="37"/>
        <v>0.5</v>
      </c>
      <c r="T73" s="158">
        <f t="shared" si="37"/>
        <v>0.5</v>
      </c>
      <c r="U73" s="158">
        <f t="shared" si="37"/>
        <v>0.5</v>
      </c>
      <c r="V73" s="158">
        <f t="shared" si="37"/>
        <v>0.5</v>
      </c>
      <c r="W73" s="158">
        <f t="shared" si="38"/>
        <v>0.5</v>
      </c>
      <c r="X73" s="158">
        <f t="shared" si="38"/>
        <v>0.5</v>
      </c>
      <c r="Y73" s="158">
        <f t="shared" si="35"/>
        <v>0.5</v>
      </c>
      <c r="Z73" s="158">
        <f t="shared" si="35"/>
        <v>0.5</v>
      </c>
      <c r="AA73" s="158">
        <f t="shared" si="35"/>
        <v>0.5</v>
      </c>
      <c r="AB73" s="158">
        <f t="shared" si="39"/>
        <v>0.5</v>
      </c>
      <c r="AC73" s="158">
        <f t="shared" si="39"/>
        <v>0.375</v>
      </c>
      <c r="AD73" s="158">
        <f t="shared" si="39"/>
        <v>0.5</v>
      </c>
      <c r="AE73" s="194"/>
    </row>
    <row r="74" spans="2:31" ht="13.5" thickBot="1" x14ac:dyDescent="0.25">
      <c r="B74" s="185">
        <v>37500000</v>
      </c>
      <c r="C74" s="212">
        <v>0</v>
      </c>
      <c r="D74" s="186">
        <v>250000000</v>
      </c>
      <c r="E74" s="220">
        <f t="shared" si="37"/>
        <v>0.4</v>
      </c>
      <c r="F74" s="220">
        <f t="shared" si="37"/>
        <v>0</v>
      </c>
      <c r="G74" s="220">
        <f t="shared" si="37"/>
        <v>0.5</v>
      </c>
      <c r="H74" s="221">
        <f t="shared" si="37"/>
        <v>0.5</v>
      </c>
      <c r="I74" s="221">
        <f t="shared" si="37"/>
        <v>0.5</v>
      </c>
      <c r="J74" s="221">
        <f t="shared" si="37"/>
        <v>0.5</v>
      </c>
      <c r="K74" s="221">
        <f t="shared" si="37"/>
        <v>0.4</v>
      </c>
      <c r="L74" s="221">
        <f t="shared" si="37"/>
        <v>0.4</v>
      </c>
      <c r="M74" s="221">
        <f t="shared" si="37"/>
        <v>0.5</v>
      </c>
      <c r="N74" s="221">
        <f t="shared" si="37"/>
        <v>0.5</v>
      </c>
      <c r="O74" s="221">
        <f t="shared" si="37"/>
        <v>0.5</v>
      </c>
      <c r="P74" s="221">
        <f t="shared" si="37"/>
        <v>0.4</v>
      </c>
      <c r="Q74" s="221">
        <f t="shared" si="37"/>
        <v>0.5</v>
      </c>
      <c r="R74" s="221">
        <f t="shared" si="37"/>
        <v>0.5</v>
      </c>
      <c r="S74" s="221">
        <f t="shared" si="37"/>
        <v>0.5</v>
      </c>
      <c r="T74" s="221">
        <f t="shared" si="37"/>
        <v>0.5</v>
      </c>
      <c r="U74" s="221">
        <f t="shared" si="37"/>
        <v>0.5</v>
      </c>
      <c r="V74" s="221">
        <f t="shared" si="37"/>
        <v>0.5</v>
      </c>
      <c r="W74" s="221">
        <f t="shared" si="38"/>
        <v>0.5</v>
      </c>
      <c r="X74" s="221">
        <f t="shared" si="38"/>
        <v>0.5</v>
      </c>
      <c r="Y74" s="221">
        <f t="shared" si="35"/>
        <v>0.5</v>
      </c>
      <c r="Z74" s="221">
        <f t="shared" si="35"/>
        <v>0.5</v>
      </c>
      <c r="AA74" s="221">
        <f t="shared" si="35"/>
        <v>0.5</v>
      </c>
      <c r="AB74" s="221">
        <f t="shared" si="39"/>
        <v>0.5</v>
      </c>
      <c r="AC74" s="221">
        <f t="shared" si="39"/>
        <v>0.375</v>
      </c>
      <c r="AD74" s="221">
        <f t="shared" si="39"/>
        <v>0.5</v>
      </c>
      <c r="AE74" s="195"/>
    </row>
    <row r="75" spans="2:31" x14ac:dyDescent="0.2">
      <c r="B75" s="185">
        <v>40000000</v>
      </c>
      <c r="C75" s="212">
        <v>0</v>
      </c>
      <c r="D75" s="217">
        <f t="shared" ref="D75:V84" si="40">D$74</f>
        <v>250000000</v>
      </c>
      <c r="E75" s="218">
        <f t="shared" si="40"/>
        <v>0.4</v>
      </c>
      <c r="F75" s="218">
        <f t="shared" si="40"/>
        <v>0</v>
      </c>
      <c r="G75" s="218">
        <f t="shared" si="40"/>
        <v>0.5</v>
      </c>
      <c r="H75" s="219">
        <f t="shared" si="40"/>
        <v>0.5</v>
      </c>
      <c r="I75" s="219">
        <f t="shared" si="40"/>
        <v>0.5</v>
      </c>
      <c r="J75" s="219">
        <f t="shared" si="40"/>
        <v>0.5</v>
      </c>
      <c r="K75" s="219">
        <f t="shared" ref="K75:T84" si="41">K$74</f>
        <v>0.4</v>
      </c>
      <c r="L75" s="219">
        <f t="shared" si="41"/>
        <v>0.4</v>
      </c>
      <c r="M75" s="219">
        <f t="shared" si="41"/>
        <v>0.5</v>
      </c>
      <c r="N75" s="219">
        <f t="shared" si="41"/>
        <v>0.5</v>
      </c>
      <c r="O75" s="219">
        <f t="shared" si="41"/>
        <v>0.5</v>
      </c>
      <c r="P75" s="219">
        <f t="shared" si="41"/>
        <v>0.4</v>
      </c>
      <c r="Q75" s="219">
        <f t="shared" si="41"/>
        <v>0.5</v>
      </c>
      <c r="R75" s="219">
        <f t="shared" si="41"/>
        <v>0.5</v>
      </c>
      <c r="S75" s="219">
        <f t="shared" si="41"/>
        <v>0.5</v>
      </c>
      <c r="T75" s="219">
        <f t="shared" si="41"/>
        <v>0.5</v>
      </c>
      <c r="U75" s="219">
        <f t="shared" si="40"/>
        <v>0.5</v>
      </c>
      <c r="V75" s="219">
        <f t="shared" si="40"/>
        <v>0.5</v>
      </c>
      <c r="W75" s="219">
        <f t="shared" ref="W75:X84" si="42">W$74</f>
        <v>0.5</v>
      </c>
      <c r="X75" s="219">
        <f t="shared" si="42"/>
        <v>0.5</v>
      </c>
      <c r="Y75" s="219">
        <f t="shared" ref="Y75:AA90" si="43">Y$74</f>
        <v>0.5</v>
      </c>
      <c r="Z75" s="219">
        <f t="shared" si="43"/>
        <v>0.5</v>
      </c>
      <c r="AA75" s="219">
        <f t="shared" si="43"/>
        <v>0.5</v>
      </c>
      <c r="AB75" s="219">
        <f t="shared" ref="AB75:AB90" si="44">AB$74</f>
        <v>0.5</v>
      </c>
      <c r="AC75" s="219">
        <f t="shared" ref="AC75:AC84" si="45">AC$74</f>
        <v>0.375</v>
      </c>
      <c r="AD75" s="219">
        <f t="shared" ref="AD75:AD90" si="46">AD$74</f>
        <v>0.5</v>
      </c>
      <c r="AE75" s="222"/>
    </row>
    <row r="76" spans="2:31" x14ac:dyDescent="0.2">
      <c r="B76" s="185">
        <v>42500000</v>
      </c>
      <c r="C76" s="212">
        <v>0</v>
      </c>
      <c r="D76" s="215">
        <f t="shared" si="40"/>
        <v>250000000</v>
      </c>
      <c r="E76" s="214">
        <f t="shared" si="40"/>
        <v>0.4</v>
      </c>
      <c r="F76" s="214">
        <f t="shared" si="40"/>
        <v>0</v>
      </c>
      <c r="G76" s="214">
        <f t="shared" si="40"/>
        <v>0.5</v>
      </c>
      <c r="H76" s="187">
        <f t="shared" si="40"/>
        <v>0.5</v>
      </c>
      <c r="I76" s="187">
        <f t="shared" si="40"/>
        <v>0.5</v>
      </c>
      <c r="J76" s="187">
        <f t="shared" si="40"/>
        <v>0.5</v>
      </c>
      <c r="K76" s="187">
        <f t="shared" si="41"/>
        <v>0.4</v>
      </c>
      <c r="L76" s="187">
        <f t="shared" si="41"/>
        <v>0.4</v>
      </c>
      <c r="M76" s="187">
        <f t="shared" si="41"/>
        <v>0.5</v>
      </c>
      <c r="N76" s="187">
        <f t="shared" si="41"/>
        <v>0.5</v>
      </c>
      <c r="O76" s="187">
        <f t="shared" si="41"/>
        <v>0.5</v>
      </c>
      <c r="P76" s="187">
        <f t="shared" si="41"/>
        <v>0.4</v>
      </c>
      <c r="Q76" s="187">
        <f t="shared" si="41"/>
        <v>0.5</v>
      </c>
      <c r="R76" s="187">
        <f t="shared" si="41"/>
        <v>0.5</v>
      </c>
      <c r="S76" s="187">
        <f t="shared" si="41"/>
        <v>0.5</v>
      </c>
      <c r="T76" s="187">
        <f t="shared" si="41"/>
        <v>0.5</v>
      </c>
      <c r="U76" s="187">
        <f t="shared" si="40"/>
        <v>0.5</v>
      </c>
      <c r="V76" s="187">
        <f t="shared" si="40"/>
        <v>0.5</v>
      </c>
      <c r="W76" s="187">
        <f t="shared" si="42"/>
        <v>0.5</v>
      </c>
      <c r="X76" s="187">
        <f t="shared" si="42"/>
        <v>0.5</v>
      </c>
      <c r="Y76" s="187">
        <f t="shared" si="43"/>
        <v>0.5</v>
      </c>
      <c r="Z76" s="187">
        <f t="shared" si="43"/>
        <v>0.5</v>
      </c>
      <c r="AA76" s="187">
        <f t="shared" si="43"/>
        <v>0.5</v>
      </c>
      <c r="AB76" s="187">
        <f t="shared" si="44"/>
        <v>0.5</v>
      </c>
      <c r="AC76" s="187">
        <f t="shared" si="45"/>
        <v>0.375</v>
      </c>
      <c r="AD76" s="187">
        <f t="shared" si="46"/>
        <v>0.5</v>
      </c>
      <c r="AE76" s="223"/>
    </row>
    <row r="77" spans="2:31" x14ac:dyDescent="0.2">
      <c r="B77" s="185">
        <v>45000000</v>
      </c>
      <c r="C77" s="212">
        <v>0</v>
      </c>
      <c r="D77" s="215">
        <f t="shared" si="40"/>
        <v>250000000</v>
      </c>
      <c r="E77" s="214">
        <f t="shared" si="40"/>
        <v>0.4</v>
      </c>
      <c r="F77" s="214">
        <f t="shared" si="40"/>
        <v>0</v>
      </c>
      <c r="G77" s="214">
        <f t="shared" si="40"/>
        <v>0.5</v>
      </c>
      <c r="H77" s="187">
        <f t="shared" si="40"/>
        <v>0.5</v>
      </c>
      <c r="I77" s="187">
        <f t="shared" si="40"/>
        <v>0.5</v>
      </c>
      <c r="J77" s="187">
        <f t="shared" si="40"/>
        <v>0.5</v>
      </c>
      <c r="K77" s="187">
        <f t="shared" si="41"/>
        <v>0.4</v>
      </c>
      <c r="L77" s="187">
        <f t="shared" si="41"/>
        <v>0.4</v>
      </c>
      <c r="M77" s="187">
        <f t="shared" si="41"/>
        <v>0.5</v>
      </c>
      <c r="N77" s="187">
        <f t="shared" si="41"/>
        <v>0.5</v>
      </c>
      <c r="O77" s="187">
        <f t="shared" si="41"/>
        <v>0.5</v>
      </c>
      <c r="P77" s="187">
        <f t="shared" si="41"/>
        <v>0.4</v>
      </c>
      <c r="Q77" s="187">
        <f t="shared" si="41"/>
        <v>0.5</v>
      </c>
      <c r="R77" s="187">
        <f t="shared" si="41"/>
        <v>0.5</v>
      </c>
      <c r="S77" s="187">
        <f t="shared" si="41"/>
        <v>0.5</v>
      </c>
      <c r="T77" s="187">
        <f t="shared" si="41"/>
        <v>0.5</v>
      </c>
      <c r="U77" s="187">
        <f t="shared" si="40"/>
        <v>0.5</v>
      </c>
      <c r="V77" s="187">
        <f t="shared" si="40"/>
        <v>0.5</v>
      </c>
      <c r="W77" s="187">
        <f t="shared" si="42"/>
        <v>0.5</v>
      </c>
      <c r="X77" s="187">
        <f t="shared" si="42"/>
        <v>0.5</v>
      </c>
      <c r="Y77" s="187">
        <f t="shared" si="43"/>
        <v>0.5</v>
      </c>
      <c r="Z77" s="187">
        <f t="shared" si="43"/>
        <v>0.5</v>
      </c>
      <c r="AA77" s="187">
        <f t="shared" si="43"/>
        <v>0.5</v>
      </c>
      <c r="AB77" s="187">
        <f t="shared" si="44"/>
        <v>0.5</v>
      </c>
      <c r="AC77" s="187">
        <f t="shared" si="45"/>
        <v>0.375</v>
      </c>
      <c r="AD77" s="187">
        <f t="shared" si="46"/>
        <v>0.5</v>
      </c>
      <c r="AE77" s="223"/>
    </row>
    <row r="78" spans="2:31" x14ac:dyDescent="0.2">
      <c r="B78" s="185">
        <v>47500000</v>
      </c>
      <c r="C78" s="212">
        <v>0</v>
      </c>
      <c r="D78" s="215">
        <f t="shared" si="40"/>
        <v>250000000</v>
      </c>
      <c r="E78" s="214">
        <f t="shared" si="40"/>
        <v>0.4</v>
      </c>
      <c r="F78" s="214">
        <f t="shared" si="40"/>
        <v>0</v>
      </c>
      <c r="G78" s="214">
        <f t="shared" si="40"/>
        <v>0.5</v>
      </c>
      <c r="H78" s="187">
        <f t="shared" si="40"/>
        <v>0.5</v>
      </c>
      <c r="I78" s="187">
        <f t="shared" si="40"/>
        <v>0.5</v>
      </c>
      <c r="J78" s="187">
        <f t="shared" si="40"/>
        <v>0.5</v>
      </c>
      <c r="K78" s="187">
        <f t="shared" si="41"/>
        <v>0.4</v>
      </c>
      <c r="L78" s="187">
        <f t="shared" si="41"/>
        <v>0.4</v>
      </c>
      <c r="M78" s="187">
        <f t="shared" si="41"/>
        <v>0.5</v>
      </c>
      <c r="N78" s="187">
        <f t="shared" si="41"/>
        <v>0.5</v>
      </c>
      <c r="O78" s="187">
        <f t="shared" si="41"/>
        <v>0.5</v>
      </c>
      <c r="P78" s="187">
        <f t="shared" si="41"/>
        <v>0.4</v>
      </c>
      <c r="Q78" s="187">
        <f t="shared" si="41"/>
        <v>0.5</v>
      </c>
      <c r="R78" s="187">
        <f t="shared" si="41"/>
        <v>0.5</v>
      </c>
      <c r="S78" s="187">
        <f t="shared" si="41"/>
        <v>0.5</v>
      </c>
      <c r="T78" s="187">
        <f t="shared" si="41"/>
        <v>0.5</v>
      </c>
      <c r="U78" s="187">
        <f t="shared" si="40"/>
        <v>0.5</v>
      </c>
      <c r="V78" s="187">
        <f t="shared" si="40"/>
        <v>0.5</v>
      </c>
      <c r="W78" s="187">
        <f t="shared" si="42"/>
        <v>0.5</v>
      </c>
      <c r="X78" s="187">
        <f t="shared" si="42"/>
        <v>0.5</v>
      </c>
      <c r="Y78" s="187">
        <f t="shared" si="43"/>
        <v>0.5</v>
      </c>
      <c r="Z78" s="187">
        <f t="shared" si="43"/>
        <v>0.5</v>
      </c>
      <c r="AA78" s="187">
        <f t="shared" si="43"/>
        <v>0.5</v>
      </c>
      <c r="AB78" s="187">
        <f t="shared" si="44"/>
        <v>0.5</v>
      </c>
      <c r="AC78" s="187">
        <f t="shared" si="45"/>
        <v>0.375</v>
      </c>
      <c r="AD78" s="187">
        <f t="shared" si="46"/>
        <v>0.5</v>
      </c>
      <c r="AE78" s="223"/>
    </row>
    <row r="79" spans="2:31" x14ac:dyDescent="0.2">
      <c r="B79" s="185">
        <v>50000000</v>
      </c>
      <c r="C79" s="212">
        <v>0</v>
      </c>
      <c r="D79" s="215">
        <f t="shared" si="40"/>
        <v>250000000</v>
      </c>
      <c r="E79" s="214">
        <f t="shared" si="40"/>
        <v>0.4</v>
      </c>
      <c r="F79" s="214">
        <f t="shared" si="40"/>
        <v>0</v>
      </c>
      <c r="G79" s="214">
        <f t="shared" si="40"/>
        <v>0.5</v>
      </c>
      <c r="H79" s="187">
        <f t="shared" si="40"/>
        <v>0.5</v>
      </c>
      <c r="I79" s="187">
        <f t="shared" si="40"/>
        <v>0.5</v>
      </c>
      <c r="J79" s="187">
        <f t="shared" si="40"/>
        <v>0.5</v>
      </c>
      <c r="K79" s="187">
        <f t="shared" si="41"/>
        <v>0.4</v>
      </c>
      <c r="L79" s="187">
        <f t="shared" si="41"/>
        <v>0.4</v>
      </c>
      <c r="M79" s="187">
        <f t="shared" si="41"/>
        <v>0.5</v>
      </c>
      <c r="N79" s="187">
        <f t="shared" si="41"/>
        <v>0.5</v>
      </c>
      <c r="O79" s="187">
        <f t="shared" si="41"/>
        <v>0.5</v>
      </c>
      <c r="P79" s="187">
        <f t="shared" si="41"/>
        <v>0.4</v>
      </c>
      <c r="Q79" s="187">
        <f t="shared" si="41"/>
        <v>0.5</v>
      </c>
      <c r="R79" s="187">
        <f t="shared" si="41"/>
        <v>0.5</v>
      </c>
      <c r="S79" s="187">
        <f t="shared" si="41"/>
        <v>0.5</v>
      </c>
      <c r="T79" s="187">
        <f t="shared" si="41"/>
        <v>0.5</v>
      </c>
      <c r="U79" s="187">
        <f t="shared" si="40"/>
        <v>0.5</v>
      </c>
      <c r="V79" s="187">
        <f t="shared" si="40"/>
        <v>0.5</v>
      </c>
      <c r="W79" s="187">
        <f t="shared" si="42"/>
        <v>0.5</v>
      </c>
      <c r="X79" s="187">
        <f t="shared" si="42"/>
        <v>0.5</v>
      </c>
      <c r="Y79" s="187">
        <f t="shared" si="43"/>
        <v>0.5</v>
      </c>
      <c r="Z79" s="187">
        <f t="shared" si="43"/>
        <v>0.5</v>
      </c>
      <c r="AA79" s="187">
        <f t="shared" si="43"/>
        <v>0.5</v>
      </c>
      <c r="AB79" s="187">
        <f t="shared" si="44"/>
        <v>0.5</v>
      </c>
      <c r="AC79" s="187">
        <f t="shared" si="45"/>
        <v>0.375</v>
      </c>
      <c r="AD79" s="187">
        <f t="shared" si="46"/>
        <v>0.5</v>
      </c>
      <c r="AE79" s="223"/>
    </row>
    <row r="80" spans="2:31" x14ac:dyDescent="0.2">
      <c r="B80" s="185">
        <v>52500000</v>
      </c>
      <c r="C80" s="212">
        <v>0</v>
      </c>
      <c r="D80" s="215">
        <f t="shared" si="40"/>
        <v>250000000</v>
      </c>
      <c r="E80" s="214">
        <f t="shared" si="40"/>
        <v>0.4</v>
      </c>
      <c r="F80" s="214">
        <f t="shared" si="40"/>
        <v>0</v>
      </c>
      <c r="G80" s="214">
        <f t="shared" si="40"/>
        <v>0.5</v>
      </c>
      <c r="H80" s="187">
        <f t="shared" si="40"/>
        <v>0.5</v>
      </c>
      <c r="I80" s="187">
        <f t="shared" si="40"/>
        <v>0.5</v>
      </c>
      <c r="J80" s="187">
        <f t="shared" si="40"/>
        <v>0.5</v>
      </c>
      <c r="K80" s="187">
        <f t="shared" si="41"/>
        <v>0.4</v>
      </c>
      <c r="L80" s="187">
        <f t="shared" si="41"/>
        <v>0.4</v>
      </c>
      <c r="M80" s="187">
        <f t="shared" si="41"/>
        <v>0.5</v>
      </c>
      <c r="N80" s="187">
        <f t="shared" si="41"/>
        <v>0.5</v>
      </c>
      <c r="O80" s="187">
        <f t="shared" si="41"/>
        <v>0.5</v>
      </c>
      <c r="P80" s="187">
        <f t="shared" si="41"/>
        <v>0.4</v>
      </c>
      <c r="Q80" s="187">
        <f t="shared" si="41"/>
        <v>0.5</v>
      </c>
      <c r="R80" s="187">
        <f t="shared" si="41"/>
        <v>0.5</v>
      </c>
      <c r="S80" s="187">
        <f t="shared" si="41"/>
        <v>0.5</v>
      </c>
      <c r="T80" s="187">
        <f t="shared" si="41"/>
        <v>0.5</v>
      </c>
      <c r="U80" s="187">
        <f t="shared" si="40"/>
        <v>0.5</v>
      </c>
      <c r="V80" s="187">
        <f t="shared" si="40"/>
        <v>0.5</v>
      </c>
      <c r="W80" s="187">
        <f t="shared" si="42"/>
        <v>0.5</v>
      </c>
      <c r="X80" s="187">
        <f t="shared" si="42"/>
        <v>0.5</v>
      </c>
      <c r="Y80" s="187">
        <f t="shared" si="43"/>
        <v>0.5</v>
      </c>
      <c r="Z80" s="187">
        <f t="shared" si="43"/>
        <v>0.5</v>
      </c>
      <c r="AA80" s="187">
        <f t="shared" si="43"/>
        <v>0.5</v>
      </c>
      <c r="AB80" s="187">
        <f t="shared" si="44"/>
        <v>0.5</v>
      </c>
      <c r="AC80" s="187">
        <f t="shared" si="45"/>
        <v>0.375</v>
      </c>
      <c r="AD80" s="187">
        <f t="shared" si="46"/>
        <v>0.5</v>
      </c>
      <c r="AE80" s="223"/>
    </row>
    <row r="81" spans="2:31" x14ac:dyDescent="0.2">
      <c r="B81" s="185">
        <v>55000000</v>
      </c>
      <c r="C81" s="212">
        <v>0</v>
      </c>
      <c r="D81" s="215">
        <f t="shared" si="40"/>
        <v>250000000</v>
      </c>
      <c r="E81" s="214">
        <f t="shared" si="40"/>
        <v>0.4</v>
      </c>
      <c r="F81" s="214">
        <f t="shared" si="40"/>
        <v>0</v>
      </c>
      <c r="G81" s="214">
        <f t="shared" si="40"/>
        <v>0.5</v>
      </c>
      <c r="H81" s="187">
        <f t="shared" si="40"/>
        <v>0.5</v>
      </c>
      <c r="I81" s="187">
        <f t="shared" si="40"/>
        <v>0.5</v>
      </c>
      <c r="J81" s="187">
        <f t="shared" si="40"/>
        <v>0.5</v>
      </c>
      <c r="K81" s="187">
        <f t="shared" si="41"/>
        <v>0.4</v>
      </c>
      <c r="L81" s="187">
        <f t="shared" si="41"/>
        <v>0.4</v>
      </c>
      <c r="M81" s="187">
        <f t="shared" si="41"/>
        <v>0.5</v>
      </c>
      <c r="N81" s="187">
        <f t="shared" si="41"/>
        <v>0.5</v>
      </c>
      <c r="O81" s="187">
        <f t="shared" si="41"/>
        <v>0.5</v>
      </c>
      <c r="P81" s="187">
        <f t="shared" si="41"/>
        <v>0.4</v>
      </c>
      <c r="Q81" s="187">
        <f t="shared" si="41"/>
        <v>0.5</v>
      </c>
      <c r="R81" s="187">
        <f t="shared" si="41"/>
        <v>0.5</v>
      </c>
      <c r="S81" s="187">
        <f t="shared" si="41"/>
        <v>0.5</v>
      </c>
      <c r="T81" s="187">
        <f t="shared" si="41"/>
        <v>0.5</v>
      </c>
      <c r="U81" s="187">
        <f t="shared" si="40"/>
        <v>0.5</v>
      </c>
      <c r="V81" s="187">
        <f t="shared" si="40"/>
        <v>0.5</v>
      </c>
      <c r="W81" s="187">
        <f t="shared" si="42"/>
        <v>0.5</v>
      </c>
      <c r="X81" s="187">
        <f t="shared" si="42"/>
        <v>0.5</v>
      </c>
      <c r="Y81" s="187">
        <f t="shared" si="43"/>
        <v>0.5</v>
      </c>
      <c r="Z81" s="187">
        <f t="shared" si="43"/>
        <v>0.5</v>
      </c>
      <c r="AA81" s="187">
        <f t="shared" si="43"/>
        <v>0.5</v>
      </c>
      <c r="AB81" s="187">
        <f t="shared" si="44"/>
        <v>0.5</v>
      </c>
      <c r="AC81" s="187">
        <f t="shared" si="45"/>
        <v>0.375</v>
      </c>
      <c r="AD81" s="187">
        <f t="shared" si="46"/>
        <v>0.5</v>
      </c>
      <c r="AE81" s="223"/>
    </row>
    <row r="82" spans="2:31" x14ac:dyDescent="0.2">
      <c r="B82" s="185">
        <v>57500000</v>
      </c>
      <c r="C82" s="212">
        <v>0</v>
      </c>
      <c r="D82" s="215">
        <f t="shared" si="40"/>
        <v>250000000</v>
      </c>
      <c r="E82" s="214">
        <f t="shared" si="40"/>
        <v>0.4</v>
      </c>
      <c r="F82" s="214">
        <f t="shared" si="40"/>
        <v>0</v>
      </c>
      <c r="G82" s="214">
        <f t="shared" si="40"/>
        <v>0.5</v>
      </c>
      <c r="H82" s="187">
        <f t="shared" si="40"/>
        <v>0.5</v>
      </c>
      <c r="I82" s="187">
        <f t="shared" si="40"/>
        <v>0.5</v>
      </c>
      <c r="J82" s="187">
        <f t="shared" si="40"/>
        <v>0.5</v>
      </c>
      <c r="K82" s="187">
        <f t="shared" si="41"/>
        <v>0.4</v>
      </c>
      <c r="L82" s="187">
        <f t="shared" si="41"/>
        <v>0.4</v>
      </c>
      <c r="M82" s="187">
        <f t="shared" si="41"/>
        <v>0.5</v>
      </c>
      <c r="N82" s="187">
        <f t="shared" si="41"/>
        <v>0.5</v>
      </c>
      <c r="O82" s="187">
        <f t="shared" si="41"/>
        <v>0.5</v>
      </c>
      <c r="P82" s="187">
        <f t="shared" si="41"/>
        <v>0.4</v>
      </c>
      <c r="Q82" s="187">
        <f t="shared" si="41"/>
        <v>0.5</v>
      </c>
      <c r="R82" s="187">
        <f t="shared" si="41"/>
        <v>0.5</v>
      </c>
      <c r="S82" s="187">
        <f t="shared" si="41"/>
        <v>0.5</v>
      </c>
      <c r="T82" s="187">
        <f t="shared" si="41"/>
        <v>0.5</v>
      </c>
      <c r="U82" s="187">
        <f t="shared" si="40"/>
        <v>0.5</v>
      </c>
      <c r="V82" s="187">
        <f t="shared" si="40"/>
        <v>0.5</v>
      </c>
      <c r="W82" s="187">
        <f t="shared" si="42"/>
        <v>0.5</v>
      </c>
      <c r="X82" s="187">
        <f t="shared" si="42"/>
        <v>0.5</v>
      </c>
      <c r="Y82" s="187">
        <f t="shared" si="43"/>
        <v>0.5</v>
      </c>
      <c r="Z82" s="187">
        <f t="shared" si="43"/>
        <v>0.5</v>
      </c>
      <c r="AA82" s="187">
        <f t="shared" si="43"/>
        <v>0.5</v>
      </c>
      <c r="AB82" s="187">
        <f t="shared" si="44"/>
        <v>0.5</v>
      </c>
      <c r="AC82" s="187">
        <f t="shared" si="45"/>
        <v>0.375</v>
      </c>
      <c r="AD82" s="187">
        <f t="shared" si="46"/>
        <v>0.5</v>
      </c>
      <c r="AE82" s="223"/>
    </row>
    <row r="83" spans="2:31" x14ac:dyDescent="0.2">
      <c r="B83" s="185">
        <v>60000000</v>
      </c>
      <c r="C83" s="212">
        <v>0</v>
      </c>
      <c r="D83" s="215">
        <f t="shared" si="40"/>
        <v>250000000</v>
      </c>
      <c r="E83" s="214">
        <f t="shared" si="40"/>
        <v>0.4</v>
      </c>
      <c r="F83" s="214">
        <f t="shared" si="40"/>
        <v>0</v>
      </c>
      <c r="G83" s="214">
        <f t="shared" si="40"/>
        <v>0.5</v>
      </c>
      <c r="H83" s="187">
        <f t="shared" si="40"/>
        <v>0.5</v>
      </c>
      <c r="I83" s="187">
        <f t="shared" si="40"/>
        <v>0.5</v>
      </c>
      <c r="J83" s="187">
        <f t="shared" si="40"/>
        <v>0.5</v>
      </c>
      <c r="K83" s="187">
        <f t="shared" si="41"/>
        <v>0.4</v>
      </c>
      <c r="L83" s="187">
        <f t="shared" si="41"/>
        <v>0.4</v>
      </c>
      <c r="M83" s="187">
        <f t="shared" si="41"/>
        <v>0.5</v>
      </c>
      <c r="N83" s="187">
        <f t="shared" si="41"/>
        <v>0.5</v>
      </c>
      <c r="O83" s="187">
        <f t="shared" si="41"/>
        <v>0.5</v>
      </c>
      <c r="P83" s="187">
        <f t="shared" si="41"/>
        <v>0.4</v>
      </c>
      <c r="Q83" s="187">
        <f t="shared" si="41"/>
        <v>0.5</v>
      </c>
      <c r="R83" s="187">
        <f t="shared" si="41"/>
        <v>0.5</v>
      </c>
      <c r="S83" s="187">
        <f t="shared" si="41"/>
        <v>0.5</v>
      </c>
      <c r="T83" s="187">
        <f t="shared" si="41"/>
        <v>0.5</v>
      </c>
      <c r="U83" s="187">
        <f t="shared" si="40"/>
        <v>0.5</v>
      </c>
      <c r="V83" s="187">
        <f t="shared" si="40"/>
        <v>0.5</v>
      </c>
      <c r="W83" s="187">
        <f t="shared" si="42"/>
        <v>0.5</v>
      </c>
      <c r="X83" s="187">
        <f t="shared" si="42"/>
        <v>0.5</v>
      </c>
      <c r="Y83" s="187">
        <f t="shared" si="43"/>
        <v>0.5</v>
      </c>
      <c r="Z83" s="187">
        <f t="shared" si="43"/>
        <v>0.5</v>
      </c>
      <c r="AA83" s="187">
        <f t="shared" si="43"/>
        <v>0.5</v>
      </c>
      <c r="AB83" s="187">
        <f t="shared" si="44"/>
        <v>0.5</v>
      </c>
      <c r="AC83" s="187">
        <f t="shared" si="45"/>
        <v>0.375</v>
      </c>
      <c r="AD83" s="187">
        <f t="shared" si="46"/>
        <v>0.5</v>
      </c>
      <c r="AE83" s="223"/>
    </row>
    <row r="84" spans="2:31" x14ac:dyDescent="0.2">
      <c r="B84" s="185">
        <v>62500000</v>
      </c>
      <c r="C84" s="212">
        <v>0</v>
      </c>
      <c r="D84" s="215">
        <f t="shared" si="40"/>
        <v>250000000</v>
      </c>
      <c r="E84" s="214">
        <f t="shared" si="40"/>
        <v>0.4</v>
      </c>
      <c r="F84" s="214">
        <f t="shared" si="40"/>
        <v>0</v>
      </c>
      <c r="G84" s="214">
        <f t="shared" si="40"/>
        <v>0.5</v>
      </c>
      <c r="H84" s="187">
        <f t="shared" si="40"/>
        <v>0.5</v>
      </c>
      <c r="I84" s="187">
        <f t="shared" si="40"/>
        <v>0.5</v>
      </c>
      <c r="J84" s="187">
        <f t="shared" si="40"/>
        <v>0.5</v>
      </c>
      <c r="K84" s="187">
        <f t="shared" si="41"/>
        <v>0.4</v>
      </c>
      <c r="L84" s="187">
        <f t="shared" si="41"/>
        <v>0.4</v>
      </c>
      <c r="M84" s="187">
        <f t="shared" si="41"/>
        <v>0.5</v>
      </c>
      <c r="N84" s="187">
        <f t="shared" si="41"/>
        <v>0.5</v>
      </c>
      <c r="O84" s="187">
        <f t="shared" si="41"/>
        <v>0.5</v>
      </c>
      <c r="P84" s="187">
        <f t="shared" si="41"/>
        <v>0.4</v>
      </c>
      <c r="Q84" s="187">
        <f t="shared" si="41"/>
        <v>0.5</v>
      </c>
      <c r="R84" s="187">
        <f t="shared" si="41"/>
        <v>0.5</v>
      </c>
      <c r="S84" s="187">
        <f t="shared" si="41"/>
        <v>0.5</v>
      </c>
      <c r="T84" s="187">
        <f t="shared" si="41"/>
        <v>0.5</v>
      </c>
      <c r="U84" s="187">
        <f t="shared" si="40"/>
        <v>0.5</v>
      </c>
      <c r="V84" s="187">
        <f t="shared" si="40"/>
        <v>0.5</v>
      </c>
      <c r="W84" s="187">
        <f t="shared" si="42"/>
        <v>0.5</v>
      </c>
      <c r="X84" s="187">
        <f t="shared" si="42"/>
        <v>0.5</v>
      </c>
      <c r="Y84" s="187">
        <f t="shared" si="43"/>
        <v>0.5</v>
      </c>
      <c r="Z84" s="187">
        <f t="shared" si="43"/>
        <v>0.5</v>
      </c>
      <c r="AA84" s="187">
        <f t="shared" si="43"/>
        <v>0.5</v>
      </c>
      <c r="AB84" s="187">
        <f t="shared" si="44"/>
        <v>0.5</v>
      </c>
      <c r="AC84" s="187">
        <f t="shared" si="45"/>
        <v>0.375</v>
      </c>
      <c r="AD84" s="187">
        <f t="shared" si="46"/>
        <v>0.5</v>
      </c>
      <c r="AE84" s="223"/>
    </row>
    <row r="85" spans="2:31" x14ac:dyDescent="0.2">
      <c r="B85" s="185">
        <v>65000000</v>
      </c>
      <c r="C85" s="212">
        <v>0</v>
      </c>
      <c r="D85" s="215">
        <f t="shared" ref="D85:V90" si="47">D$74</f>
        <v>250000000</v>
      </c>
      <c r="E85" s="214">
        <f t="shared" si="47"/>
        <v>0.4</v>
      </c>
      <c r="F85" s="214">
        <f t="shared" si="47"/>
        <v>0</v>
      </c>
      <c r="G85" s="214">
        <f t="shared" si="47"/>
        <v>0.5</v>
      </c>
      <c r="H85" s="187">
        <f t="shared" si="47"/>
        <v>0.5</v>
      </c>
      <c r="I85" s="187">
        <f t="shared" si="47"/>
        <v>0.5</v>
      </c>
      <c r="J85" s="187">
        <f t="shared" si="47"/>
        <v>0.5</v>
      </c>
      <c r="K85" s="187">
        <f t="shared" si="47"/>
        <v>0.4</v>
      </c>
      <c r="L85" s="187">
        <f t="shared" si="47"/>
        <v>0.4</v>
      </c>
      <c r="M85" s="187">
        <f t="shared" si="47"/>
        <v>0.5</v>
      </c>
      <c r="N85" s="187">
        <f t="shared" si="47"/>
        <v>0.5</v>
      </c>
      <c r="O85" s="187">
        <f t="shared" si="47"/>
        <v>0.5</v>
      </c>
      <c r="P85" s="187">
        <f t="shared" si="47"/>
        <v>0.4</v>
      </c>
      <c r="Q85" s="187">
        <f t="shared" si="47"/>
        <v>0.5</v>
      </c>
      <c r="R85" s="187">
        <f t="shared" si="47"/>
        <v>0.5</v>
      </c>
      <c r="S85" s="187">
        <f t="shared" si="47"/>
        <v>0.5</v>
      </c>
      <c r="T85" s="187">
        <f t="shared" si="47"/>
        <v>0.5</v>
      </c>
      <c r="U85" s="187">
        <f t="shared" si="47"/>
        <v>0.5</v>
      </c>
      <c r="V85" s="187">
        <f t="shared" si="47"/>
        <v>0.5</v>
      </c>
      <c r="W85" s="187">
        <f t="shared" ref="W85:X90" si="48">W$74</f>
        <v>0.5</v>
      </c>
      <c r="X85" s="187">
        <f t="shared" si="48"/>
        <v>0.5</v>
      </c>
      <c r="Y85" s="187">
        <f t="shared" si="43"/>
        <v>0.5</v>
      </c>
      <c r="Z85" s="187">
        <f t="shared" si="43"/>
        <v>0.5</v>
      </c>
      <c r="AA85" s="187">
        <f t="shared" si="43"/>
        <v>0.5</v>
      </c>
      <c r="AB85" s="187">
        <f t="shared" si="44"/>
        <v>0.5</v>
      </c>
      <c r="AC85" s="187">
        <f t="shared" ref="AC85:AC90" si="49">AC$74</f>
        <v>0.375</v>
      </c>
      <c r="AD85" s="187">
        <f t="shared" si="46"/>
        <v>0.5</v>
      </c>
      <c r="AE85" s="223"/>
    </row>
    <row r="86" spans="2:31" x14ac:dyDescent="0.2">
      <c r="B86" s="185">
        <v>70000000</v>
      </c>
      <c r="C86" s="212">
        <v>0</v>
      </c>
      <c r="D86" s="215">
        <f t="shared" si="47"/>
        <v>250000000</v>
      </c>
      <c r="E86" s="214">
        <f t="shared" si="47"/>
        <v>0.4</v>
      </c>
      <c r="F86" s="214">
        <f t="shared" si="47"/>
        <v>0</v>
      </c>
      <c r="G86" s="214">
        <f t="shared" si="47"/>
        <v>0.5</v>
      </c>
      <c r="H86" s="187">
        <f t="shared" si="47"/>
        <v>0.5</v>
      </c>
      <c r="I86" s="187">
        <f t="shared" si="47"/>
        <v>0.5</v>
      </c>
      <c r="J86" s="187">
        <f t="shared" si="47"/>
        <v>0.5</v>
      </c>
      <c r="K86" s="187">
        <f t="shared" si="47"/>
        <v>0.4</v>
      </c>
      <c r="L86" s="187">
        <f t="shared" si="47"/>
        <v>0.4</v>
      </c>
      <c r="M86" s="187">
        <f t="shared" si="47"/>
        <v>0.5</v>
      </c>
      <c r="N86" s="187">
        <f t="shared" si="47"/>
        <v>0.5</v>
      </c>
      <c r="O86" s="187">
        <f t="shared" si="47"/>
        <v>0.5</v>
      </c>
      <c r="P86" s="187">
        <f t="shared" si="47"/>
        <v>0.4</v>
      </c>
      <c r="Q86" s="187">
        <f t="shared" si="47"/>
        <v>0.5</v>
      </c>
      <c r="R86" s="187">
        <f t="shared" si="47"/>
        <v>0.5</v>
      </c>
      <c r="S86" s="187">
        <f t="shared" si="47"/>
        <v>0.5</v>
      </c>
      <c r="T86" s="187">
        <f t="shared" si="47"/>
        <v>0.5</v>
      </c>
      <c r="U86" s="187">
        <f t="shared" si="47"/>
        <v>0.5</v>
      </c>
      <c r="V86" s="187">
        <f t="shared" si="47"/>
        <v>0.5</v>
      </c>
      <c r="W86" s="187">
        <f t="shared" si="48"/>
        <v>0.5</v>
      </c>
      <c r="X86" s="187">
        <f t="shared" si="48"/>
        <v>0.5</v>
      </c>
      <c r="Y86" s="187">
        <f t="shared" si="43"/>
        <v>0.5</v>
      </c>
      <c r="Z86" s="187">
        <f t="shared" si="43"/>
        <v>0.5</v>
      </c>
      <c r="AA86" s="187">
        <f t="shared" si="43"/>
        <v>0.5</v>
      </c>
      <c r="AB86" s="187">
        <f t="shared" si="44"/>
        <v>0.5</v>
      </c>
      <c r="AC86" s="187">
        <f t="shared" si="49"/>
        <v>0.375</v>
      </c>
      <c r="AD86" s="187">
        <f t="shared" si="46"/>
        <v>0.5</v>
      </c>
      <c r="AE86" s="223"/>
    </row>
    <row r="87" spans="2:31" x14ac:dyDescent="0.2">
      <c r="B87" s="185">
        <v>75000000</v>
      </c>
      <c r="C87" s="212">
        <v>0</v>
      </c>
      <c r="D87" s="215">
        <f t="shared" si="47"/>
        <v>250000000</v>
      </c>
      <c r="E87" s="214">
        <f t="shared" si="47"/>
        <v>0.4</v>
      </c>
      <c r="F87" s="214">
        <f t="shared" si="47"/>
        <v>0</v>
      </c>
      <c r="G87" s="214">
        <f t="shared" si="47"/>
        <v>0.5</v>
      </c>
      <c r="H87" s="187">
        <f t="shared" si="47"/>
        <v>0.5</v>
      </c>
      <c r="I87" s="187">
        <f t="shared" si="47"/>
        <v>0.5</v>
      </c>
      <c r="J87" s="187">
        <f t="shared" si="47"/>
        <v>0.5</v>
      </c>
      <c r="K87" s="187">
        <f t="shared" si="47"/>
        <v>0.4</v>
      </c>
      <c r="L87" s="187">
        <f t="shared" si="47"/>
        <v>0.4</v>
      </c>
      <c r="M87" s="187">
        <f t="shared" si="47"/>
        <v>0.5</v>
      </c>
      <c r="N87" s="187">
        <f t="shared" si="47"/>
        <v>0.5</v>
      </c>
      <c r="O87" s="187">
        <f t="shared" si="47"/>
        <v>0.5</v>
      </c>
      <c r="P87" s="187">
        <f t="shared" si="47"/>
        <v>0.4</v>
      </c>
      <c r="Q87" s="187">
        <f t="shared" si="47"/>
        <v>0.5</v>
      </c>
      <c r="R87" s="187">
        <f t="shared" si="47"/>
        <v>0.5</v>
      </c>
      <c r="S87" s="187">
        <f t="shared" si="47"/>
        <v>0.5</v>
      </c>
      <c r="T87" s="187">
        <f t="shared" si="47"/>
        <v>0.5</v>
      </c>
      <c r="U87" s="187">
        <f t="shared" si="47"/>
        <v>0.5</v>
      </c>
      <c r="V87" s="187">
        <f t="shared" si="47"/>
        <v>0.5</v>
      </c>
      <c r="W87" s="187">
        <f t="shared" si="48"/>
        <v>0.5</v>
      </c>
      <c r="X87" s="187">
        <f t="shared" si="48"/>
        <v>0.5</v>
      </c>
      <c r="Y87" s="187">
        <f t="shared" si="43"/>
        <v>0.5</v>
      </c>
      <c r="Z87" s="187">
        <f t="shared" si="43"/>
        <v>0.5</v>
      </c>
      <c r="AA87" s="187">
        <f t="shared" si="43"/>
        <v>0.5</v>
      </c>
      <c r="AB87" s="187">
        <f t="shared" si="44"/>
        <v>0.5</v>
      </c>
      <c r="AC87" s="187">
        <f t="shared" si="49"/>
        <v>0.375</v>
      </c>
      <c r="AD87" s="187">
        <f t="shared" si="46"/>
        <v>0.5</v>
      </c>
      <c r="AE87" s="223"/>
    </row>
    <row r="88" spans="2:31" x14ac:dyDescent="0.2">
      <c r="B88" s="185">
        <v>80000000</v>
      </c>
      <c r="C88" s="212">
        <v>0</v>
      </c>
      <c r="D88" s="215">
        <f t="shared" si="47"/>
        <v>250000000</v>
      </c>
      <c r="E88" s="214">
        <f t="shared" si="47"/>
        <v>0.4</v>
      </c>
      <c r="F88" s="214">
        <f t="shared" si="47"/>
        <v>0</v>
      </c>
      <c r="G88" s="214">
        <f t="shared" si="47"/>
        <v>0.5</v>
      </c>
      <c r="H88" s="187">
        <f t="shared" si="47"/>
        <v>0.5</v>
      </c>
      <c r="I88" s="187">
        <f t="shared" si="47"/>
        <v>0.5</v>
      </c>
      <c r="J88" s="187">
        <f t="shared" si="47"/>
        <v>0.5</v>
      </c>
      <c r="K88" s="187">
        <f t="shared" si="47"/>
        <v>0.4</v>
      </c>
      <c r="L88" s="187">
        <f t="shared" si="47"/>
        <v>0.4</v>
      </c>
      <c r="M88" s="187">
        <f t="shared" si="47"/>
        <v>0.5</v>
      </c>
      <c r="N88" s="187">
        <f t="shared" si="47"/>
        <v>0.5</v>
      </c>
      <c r="O88" s="187">
        <f t="shared" si="47"/>
        <v>0.5</v>
      </c>
      <c r="P88" s="187">
        <f t="shared" si="47"/>
        <v>0.4</v>
      </c>
      <c r="Q88" s="187">
        <f t="shared" si="47"/>
        <v>0.5</v>
      </c>
      <c r="R88" s="187">
        <f t="shared" si="47"/>
        <v>0.5</v>
      </c>
      <c r="S88" s="187">
        <f t="shared" si="47"/>
        <v>0.5</v>
      </c>
      <c r="T88" s="187">
        <f t="shared" si="47"/>
        <v>0.5</v>
      </c>
      <c r="U88" s="187">
        <f t="shared" si="47"/>
        <v>0.5</v>
      </c>
      <c r="V88" s="187">
        <f t="shared" si="47"/>
        <v>0.5</v>
      </c>
      <c r="W88" s="187">
        <f t="shared" si="48"/>
        <v>0.5</v>
      </c>
      <c r="X88" s="187">
        <f t="shared" si="48"/>
        <v>0.5</v>
      </c>
      <c r="Y88" s="187">
        <f t="shared" si="43"/>
        <v>0.5</v>
      </c>
      <c r="Z88" s="187">
        <f t="shared" si="43"/>
        <v>0.5</v>
      </c>
      <c r="AA88" s="187">
        <f t="shared" si="43"/>
        <v>0.5</v>
      </c>
      <c r="AB88" s="187">
        <f t="shared" si="44"/>
        <v>0.5</v>
      </c>
      <c r="AC88" s="187">
        <f t="shared" si="49"/>
        <v>0.375</v>
      </c>
      <c r="AD88" s="187">
        <f t="shared" si="46"/>
        <v>0.5</v>
      </c>
      <c r="AE88" s="223"/>
    </row>
    <row r="89" spans="2:31" x14ac:dyDescent="0.2">
      <c r="B89" s="185">
        <v>85000000</v>
      </c>
      <c r="C89" s="212">
        <v>0</v>
      </c>
      <c r="D89" s="215">
        <f t="shared" si="47"/>
        <v>250000000</v>
      </c>
      <c r="E89" s="214">
        <f t="shared" si="47"/>
        <v>0.4</v>
      </c>
      <c r="F89" s="214">
        <f t="shared" si="47"/>
        <v>0</v>
      </c>
      <c r="G89" s="214">
        <f t="shared" si="47"/>
        <v>0.5</v>
      </c>
      <c r="H89" s="187">
        <f t="shared" si="47"/>
        <v>0.5</v>
      </c>
      <c r="I89" s="187">
        <f t="shared" si="47"/>
        <v>0.5</v>
      </c>
      <c r="J89" s="187">
        <f t="shared" si="47"/>
        <v>0.5</v>
      </c>
      <c r="K89" s="187">
        <f t="shared" si="47"/>
        <v>0.4</v>
      </c>
      <c r="L89" s="187">
        <f t="shared" si="47"/>
        <v>0.4</v>
      </c>
      <c r="M89" s="187">
        <f t="shared" si="47"/>
        <v>0.5</v>
      </c>
      <c r="N89" s="187">
        <f t="shared" si="47"/>
        <v>0.5</v>
      </c>
      <c r="O89" s="187">
        <f t="shared" si="47"/>
        <v>0.5</v>
      </c>
      <c r="P89" s="187">
        <f t="shared" si="47"/>
        <v>0.4</v>
      </c>
      <c r="Q89" s="187">
        <f t="shared" si="47"/>
        <v>0.5</v>
      </c>
      <c r="R89" s="187">
        <f t="shared" si="47"/>
        <v>0.5</v>
      </c>
      <c r="S89" s="187">
        <f t="shared" si="47"/>
        <v>0.5</v>
      </c>
      <c r="T89" s="187">
        <f t="shared" si="47"/>
        <v>0.5</v>
      </c>
      <c r="U89" s="187">
        <f t="shared" si="47"/>
        <v>0.5</v>
      </c>
      <c r="V89" s="187">
        <f t="shared" si="47"/>
        <v>0.5</v>
      </c>
      <c r="W89" s="187">
        <f t="shared" si="48"/>
        <v>0.5</v>
      </c>
      <c r="X89" s="187">
        <f t="shared" si="48"/>
        <v>0.5</v>
      </c>
      <c r="Y89" s="187">
        <f t="shared" si="43"/>
        <v>0.5</v>
      </c>
      <c r="Z89" s="187">
        <f t="shared" si="43"/>
        <v>0.5</v>
      </c>
      <c r="AA89" s="187">
        <f t="shared" si="43"/>
        <v>0.5</v>
      </c>
      <c r="AB89" s="187">
        <f t="shared" si="44"/>
        <v>0.5</v>
      </c>
      <c r="AC89" s="187">
        <f t="shared" si="49"/>
        <v>0.375</v>
      </c>
      <c r="AD89" s="187">
        <f t="shared" si="46"/>
        <v>0.5</v>
      </c>
      <c r="AE89" s="223"/>
    </row>
    <row r="90" spans="2:31" x14ac:dyDescent="0.2">
      <c r="B90" s="185">
        <v>90000000</v>
      </c>
      <c r="C90" s="212">
        <v>0</v>
      </c>
      <c r="D90" s="216">
        <f t="shared" si="47"/>
        <v>250000000</v>
      </c>
      <c r="E90" s="224">
        <f t="shared" si="47"/>
        <v>0.4</v>
      </c>
      <c r="F90" s="224">
        <f t="shared" si="47"/>
        <v>0</v>
      </c>
      <c r="G90" s="224">
        <f t="shared" si="47"/>
        <v>0.5</v>
      </c>
      <c r="H90" s="225">
        <f t="shared" si="47"/>
        <v>0.5</v>
      </c>
      <c r="I90" s="225">
        <f t="shared" si="47"/>
        <v>0.5</v>
      </c>
      <c r="J90" s="225">
        <f t="shared" si="47"/>
        <v>0.5</v>
      </c>
      <c r="K90" s="225">
        <f t="shared" si="47"/>
        <v>0.4</v>
      </c>
      <c r="L90" s="225">
        <f t="shared" si="47"/>
        <v>0.4</v>
      </c>
      <c r="M90" s="225">
        <f t="shared" si="47"/>
        <v>0.5</v>
      </c>
      <c r="N90" s="225">
        <f t="shared" si="47"/>
        <v>0.5</v>
      </c>
      <c r="O90" s="225">
        <f t="shared" si="47"/>
        <v>0.5</v>
      </c>
      <c r="P90" s="225">
        <f t="shared" si="47"/>
        <v>0.4</v>
      </c>
      <c r="Q90" s="225">
        <f t="shared" si="47"/>
        <v>0.5</v>
      </c>
      <c r="R90" s="225">
        <f t="shared" si="47"/>
        <v>0.5</v>
      </c>
      <c r="S90" s="225">
        <f t="shared" si="47"/>
        <v>0.5</v>
      </c>
      <c r="T90" s="225">
        <f t="shared" si="47"/>
        <v>0.5</v>
      </c>
      <c r="U90" s="225">
        <f t="shared" si="47"/>
        <v>0.5</v>
      </c>
      <c r="V90" s="225">
        <f t="shared" si="47"/>
        <v>0.5</v>
      </c>
      <c r="W90" s="225">
        <f t="shared" si="48"/>
        <v>0.5</v>
      </c>
      <c r="X90" s="225">
        <f t="shared" si="48"/>
        <v>0.5</v>
      </c>
      <c r="Y90" s="225">
        <f t="shared" si="43"/>
        <v>0.5</v>
      </c>
      <c r="Z90" s="225">
        <f t="shared" si="43"/>
        <v>0.5</v>
      </c>
      <c r="AA90" s="225">
        <f t="shared" si="43"/>
        <v>0.5</v>
      </c>
      <c r="AB90" s="225">
        <f t="shared" si="44"/>
        <v>0.5</v>
      </c>
      <c r="AC90" s="225">
        <f t="shared" si="49"/>
        <v>0.375</v>
      </c>
      <c r="AD90" s="225">
        <f t="shared" si="46"/>
        <v>0.5</v>
      </c>
      <c r="AE90" s="226"/>
    </row>
    <row r="91" spans="2:31" x14ac:dyDescent="0.2">
      <c r="B91" s="185">
        <v>95000000</v>
      </c>
      <c r="C91" s="212">
        <v>0</v>
      </c>
    </row>
    <row r="92" spans="2:31" x14ac:dyDescent="0.2">
      <c r="B92" s="185">
        <v>100000000</v>
      </c>
      <c r="C92" s="212">
        <v>0</v>
      </c>
    </row>
    <row r="93" spans="2:31" x14ac:dyDescent="0.2">
      <c r="B93" s="185">
        <v>105000000</v>
      </c>
      <c r="C93" s="212">
        <v>0</v>
      </c>
    </row>
    <row r="94" spans="2:31" x14ac:dyDescent="0.2">
      <c r="B94" s="185">
        <v>110000000</v>
      </c>
      <c r="C94" s="212">
        <v>0</v>
      </c>
    </row>
    <row r="95" spans="2:31" x14ac:dyDescent="0.2">
      <c r="B95" s="185">
        <v>115000000</v>
      </c>
      <c r="C95" s="212">
        <v>0</v>
      </c>
    </row>
    <row r="96" spans="2:31" x14ac:dyDescent="0.2">
      <c r="B96" s="185">
        <v>120000000</v>
      </c>
      <c r="C96" s="212">
        <v>0</v>
      </c>
    </row>
    <row r="97" spans="2:3" x14ac:dyDescent="0.2">
      <c r="B97" s="186">
        <v>125000000</v>
      </c>
      <c r="C97" s="213">
        <v>0</v>
      </c>
    </row>
  </sheetData>
  <conditionalFormatting sqref="Y16:AD90 E16:E90 O16:U90 G16:M90">
    <cfRule type="expression" dxfId="77" priority="19">
      <formula>E$8=E16</formula>
    </cfRule>
    <cfRule type="expression" dxfId="76" priority="20">
      <formula>E$7=E16</formula>
    </cfRule>
  </conditionalFormatting>
  <conditionalFormatting sqref="AE16:AE90">
    <cfRule type="expression" dxfId="75" priority="25">
      <formula>#REF!=$D16</formula>
    </cfRule>
    <cfRule type="expression" dxfId="74" priority="26">
      <formula>#REF!=$D16</formula>
    </cfRule>
  </conditionalFormatting>
  <conditionalFormatting sqref="W16:W90">
    <cfRule type="expression" dxfId="73" priority="13">
      <formula>W$8=W16</formula>
    </cfRule>
    <cfRule type="expression" dxfId="72" priority="14">
      <formula>W$7=W16</formula>
    </cfRule>
  </conditionalFormatting>
  <conditionalFormatting sqref="X16:X90">
    <cfRule type="expression" dxfId="71" priority="11">
      <formula>X$8=X16</formula>
    </cfRule>
    <cfRule type="expression" dxfId="70" priority="12">
      <formula>X$7=X16</formula>
    </cfRule>
  </conditionalFormatting>
  <conditionalFormatting sqref="V16:V90">
    <cfRule type="expression" dxfId="69" priority="9">
      <formula>V$8=V16</formula>
    </cfRule>
    <cfRule type="expression" dxfId="68" priority="10">
      <formula>V$7=V16</formula>
    </cfRule>
  </conditionalFormatting>
  <conditionalFormatting sqref="N16:N90">
    <cfRule type="expression" dxfId="67" priority="3">
      <formula>N$8=N16</formula>
    </cfRule>
    <cfRule type="expression" dxfId="66" priority="4">
      <formula>N$7=N16</formula>
    </cfRule>
  </conditionalFormatting>
  <conditionalFormatting sqref="F16:F90">
    <cfRule type="expression" dxfId="65" priority="1">
      <formula>F$8=F16</formula>
    </cfRule>
    <cfRule type="expression" dxfId="64" priority="2">
      <formula>F$7=F16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3">
    <tabColor indexed="8"/>
  </sheetPr>
  <dimension ref="A1:E198"/>
  <sheetViews>
    <sheetView showGridLines="0" zoomScaleNormal="100" workbookViewId="0"/>
  </sheetViews>
  <sheetFormatPr defaultRowHeight="11.25" x14ac:dyDescent="0.2"/>
  <cols>
    <col min="1" max="1" width="18" style="67" customWidth="1"/>
    <col min="2" max="2" width="106.140625" style="68" customWidth="1"/>
    <col min="3" max="3" width="19.5703125" style="151" customWidth="1"/>
    <col min="4" max="4" width="19.5703125" style="69" customWidth="1"/>
    <col min="5" max="5" width="21" style="69" bestFit="1" customWidth="1"/>
    <col min="6" max="16384" width="9.140625" style="13"/>
  </cols>
  <sheetData>
    <row r="1" spans="1:5" ht="12" thickBot="1" x14ac:dyDescent="0.25">
      <c r="A1" s="64" t="s">
        <v>155</v>
      </c>
      <c r="B1" s="65" t="s">
        <v>156</v>
      </c>
      <c r="C1" s="66" t="s">
        <v>157</v>
      </c>
      <c r="D1" s="66"/>
      <c r="E1" s="66"/>
    </row>
    <row r="31" spans="3:3" x14ac:dyDescent="0.2">
      <c r="C31" s="131"/>
    </row>
    <row r="141" spans="3:3" x14ac:dyDescent="0.2">
      <c r="C141" s="131"/>
    </row>
    <row r="198" spans="3:3" x14ac:dyDescent="0.2">
      <c r="C198" s="131"/>
    </row>
  </sheetData>
  <autoFilter ref="A1:C341"/>
  <dataConsolidate/>
  <phoneticPr fontId="2" type="noConversion"/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theme="0" tint="-0.499984740745262"/>
    <pageSetUpPr fitToPage="1"/>
  </sheetPr>
  <dimension ref="A1:K150"/>
  <sheetViews>
    <sheetView showGridLines="0" zoomScale="80" zoomScaleNormal="80" workbookViewId="0"/>
  </sheetViews>
  <sheetFormatPr defaultColWidth="9.140625" defaultRowHeight="12.75" x14ac:dyDescent="0.2"/>
  <cols>
    <col min="1" max="1" width="2.5703125" style="60" customWidth="1"/>
    <col min="2" max="2" width="33" style="60" customWidth="1"/>
    <col min="3" max="3" width="57.140625" style="60" customWidth="1"/>
    <col min="4" max="7" width="15.7109375" style="60" customWidth="1"/>
    <col min="8" max="9" width="15.7109375" style="253" customWidth="1"/>
    <col min="10" max="10" width="15.5703125" style="637" customWidth="1"/>
    <col min="11" max="11" width="66" style="60" customWidth="1"/>
    <col min="12" max="16384" width="9.140625" style="60"/>
  </cols>
  <sheetData>
    <row r="1" spans="2:10" x14ac:dyDescent="0.2">
      <c r="J1" s="636"/>
    </row>
    <row r="2" spans="2:10" ht="18" x14ac:dyDescent="0.2">
      <c r="B2" s="76" t="s">
        <v>23</v>
      </c>
      <c r="C2" s="12"/>
      <c r="D2" s="574" t="str">
        <f>СПЛИТ!$B$3</f>
        <v>Версия прайс-листа: 23.09.2013</v>
      </c>
    </row>
    <row r="3" spans="2:10" x14ac:dyDescent="0.2">
      <c r="B3" s="3" t="s">
        <v>198</v>
      </c>
      <c r="C3" s="4"/>
    </row>
    <row r="5" spans="2:10" x14ac:dyDescent="0.2">
      <c r="B5" s="6" t="s">
        <v>303</v>
      </c>
      <c r="C5" s="4"/>
      <c r="D5" s="671"/>
      <c r="E5" s="4"/>
    </row>
    <row r="6" spans="2:10" x14ac:dyDescent="0.2">
      <c r="B6" s="328" t="s">
        <v>89</v>
      </c>
      <c r="C6" s="328" t="s">
        <v>287</v>
      </c>
      <c r="D6"/>
    </row>
    <row r="7" spans="2:10" x14ac:dyDescent="0.2">
      <c r="B7" s="9" t="s">
        <v>79</v>
      </c>
      <c r="C7" s="670">
        <v>0.6</v>
      </c>
      <c r="D7"/>
    </row>
    <row r="8" spans="2:10" x14ac:dyDescent="0.2">
      <c r="B8" s="10" t="s">
        <v>80</v>
      </c>
      <c r="C8" s="642">
        <v>0.7</v>
      </c>
      <c r="D8"/>
    </row>
    <row r="9" spans="2:10" x14ac:dyDescent="0.2">
      <c r="B9" s="10" t="s">
        <v>81</v>
      </c>
      <c r="C9" s="286">
        <v>1</v>
      </c>
      <c r="D9"/>
    </row>
    <row r="10" spans="2:10" x14ac:dyDescent="0.2">
      <c r="B10" s="10" t="s">
        <v>82</v>
      </c>
      <c r="C10" s="286">
        <v>1</v>
      </c>
      <c r="D10"/>
    </row>
    <row r="11" spans="2:10" x14ac:dyDescent="0.2">
      <c r="B11" s="10" t="s">
        <v>83</v>
      </c>
      <c r="C11" s="286">
        <v>1</v>
      </c>
      <c r="D11"/>
    </row>
    <row r="12" spans="2:10" x14ac:dyDescent="0.2">
      <c r="B12" s="10" t="s">
        <v>84</v>
      </c>
      <c r="C12" s="286">
        <v>1</v>
      </c>
      <c r="D12"/>
    </row>
    <row r="13" spans="2:10" x14ac:dyDescent="0.2">
      <c r="B13" s="10" t="s">
        <v>85</v>
      </c>
      <c r="C13" s="642">
        <v>1</v>
      </c>
      <c r="D13"/>
    </row>
    <row r="14" spans="2:10" x14ac:dyDescent="0.2">
      <c r="B14" s="10" t="s">
        <v>74</v>
      </c>
      <c r="C14" s="642">
        <v>1</v>
      </c>
      <c r="D14"/>
    </row>
    <row r="15" spans="2:10" x14ac:dyDescent="0.2">
      <c r="B15" s="10" t="s">
        <v>75</v>
      </c>
      <c r="C15" s="642">
        <v>1.4</v>
      </c>
      <c r="D15"/>
    </row>
    <row r="16" spans="2:10" x14ac:dyDescent="0.2">
      <c r="B16" s="10" t="s">
        <v>86</v>
      </c>
      <c r="C16" s="642">
        <v>1.4</v>
      </c>
      <c r="D16"/>
    </row>
    <row r="17" spans="1:11" x14ac:dyDescent="0.2">
      <c r="B17" s="10" t="s">
        <v>87</v>
      </c>
      <c r="C17" s="642">
        <v>1.4</v>
      </c>
      <c r="D17"/>
    </row>
    <row r="18" spans="1:11" x14ac:dyDescent="0.2">
      <c r="B18" s="11" t="s">
        <v>88</v>
      </c>
      <c r="C18" s="643">
        <v>1.4</v>
      </c>
      <c r="D18"/>
    </row>
    <row r="19" spans="1:11" x14ac:dyDescent="0.2">
      <c r="B19" s="343"/>
      <c r="D19"/>
    </row>
    <row r="20" spans="1:11" x14ac:dyDescent="0.2">
      <c r="B20" s="785" t="s">
        <v>607</v>
      </c>
      <c r="D20" s="181"/>
    </row>
    <row r="21" spans="1:11" x14ac:dyDescent="0.2">
      <c r="B21" s="784" t="s">
        <v>608</v>
      </c>
    </row>
    <row r="22" spans="1:11" x14ac:dyDescent="0.2">
      <c r="B22" s="784" t="s">
        <v>609</v>
      </c>
    </row>
    <row r="23" spans="1:11" x14ac:dyDescent="0.2">
      <c r="B23" s="784" t="s">
        <v>610</v>
      </c>
    </row>
    <row r="25" spans="1:11" ht="44.25" customHeight="1" x14ac:dyDescent="0.55000000000000004">
      <c r="A25" s="319"/>
      <c r="B25" s="320" t="s">
        <v>278</v>
      </c>
      <c r="C25" s="320" t="s">
        <v>279</v>
      </c>
      <c r="D25" s="320" t="s">
        <v>275</v>
      </c>
      <c r="E25" s="320" t="s">
        <v>280</v>
      </c>
      <c r="F25" s="321" t="s">
        <v>395</v>
      </c>
      <c r="G25" s="320" t="s">
        <v>111</v>
      </c>
      <c r="H25" s="322" t="s">
        <v>282</v>
      </c>
      <c r="I25" s="322" t="s">
        <v>283</v>
      </c>
      <c r="J25" s="320" t="s">
        <v>284</v>
      </c>
      <c r="K25" s="321" t="s">
        <v>285</v>
      </c>
    </row>
    <row r="26" spans="1:11" x14ac:dyDescent="0.2">
      <c r="B26" s="645" t="s">
        <v>116</v>
      </c>
      <c r="C26" s="288" t="s">
        <v>437</v>
      </c>
      <c r="D26" s="290">
        <v>4620000</v>
      </c>
      <c r="E26" s="289" t="s">
        <v>96</v>
      </c>
      <c r="F26" s="290">
        <v>22000</v>
      </c>
      <c r="G26" s="291">
        <f t="shared" ref="G26:G64" si="0">D26/F26</f>
        <v>210</v>
      </c>
      <c r="H26" s="296" t="s">
        <v>103</v>
      </c>
      <c r="I26" s="296" t="s">
        <v>103</v>
      </c>
      <c r="J26" s="289" t="s">
        <v>393</v>
      </c>
      <c r="K26" s="332" t="s">
        <v>162</v>
      </c>
    </row>
    <row r="27" spans="1:11" x14ac:dyDescent="0.2">
      <c r="B27" s="645" t="s">
        <v>116</v>
      </c>
      <c r="C27" s="288" t="s">
        <v>498</v>
      </c>
      <c r="D27" s="290">
        <v>7040000</v>
      </c>
      <c r="E27" s="289" t="s">
        <v>96</v>
      </c>
      <c r="F27" s="290">
        <v>44000</v>
      </c>
      <c r="G27" s="291">
        <f>D27/F27</f>
        <v>160</v>
      </c>
      <c r="H27" s="296" t="s">
        <v>103</v>
      </c>
      <c r="I27" s="296" t="s">
        <v>103</v>
      </c>
      <c r="J27" s="289" t="s">
        <v>393</v>
      </c>
      <c r="K27" s="332" t="s">
        <v>162</v>
      </c>
    </row>
    <row r="28" spans="1:11" ht="25.5" x14ac:dyDescent="0.2">
      <c r="B28" s="646" t="s">
        <v>116</v>
      </c>
      <c r="C28" s="672" t="s">
        <v>200</v>
      </c>
      <c r="D28" s="290">
        <v>3400000</v>
      </c>
      <c r="E28" s="292" t="s">
        <v>96</v>
      </c>
      <c r="F28" s="293">
        <v>20000</v>
      </c>
      <c r="G28" s="291">
        <f t="shared" si="0"/>
        <v>170</v>
      </c>
      <c r="H28" s="296" t="s">
        <v>103</v>
      </c>
      <c r="I28" s="296" t="s">
        <v>103</v>
      </c>
      <c r="J28" s="289" t="s">
        <v>393</v>
      </c>
      <c r="K28" s="333" t="s">
        <v>499</v>
      </c>
    </row>
    <row r="29" spans="1:11" ht="51" x14ac:dyDescent="0.55000000000000004">
      <c r="A29" s="319"/>
      <c r="B29" s="646" t="s">
        <v>90</v>
      </c>
      <c r="C29" s="294" t="s">
        <v>559</v>
      </c>
      <c r="D29" s="290">
        <v>80</v>
      </c>
      <c r="E29" s="292" t="s">
        <v>101</v>
      </c>
      <c r="F29" s="293">
        <v>1</v>
      </c>
      <c r="G29" s="295">
        <f t="shared" si="0"/>
        <v>80</v>
      </c>
      <c r="H29" s="296">
        <v>0</v>
      </c>
      <c r="I29" s="296" t="s">
        <v>52</v>
      </c>
      <c r="J29" s="292" t="s">
        <v>393</v>
      </c>
      <c r="K29" s="333" t="s">
        <v>575</v>
      </c>
    </row>
    <row r="30" spans="1:11" x14ac:dyDescent="0.2">
      <c r="B30" s="645" t="s">
        <v>679</v>
      </c>
      <c r="C30" s="288" t="s">
        <v>680</v>
      </c>
      <c r="D30" s="290">
        <v>300000</v>
      </c>
      <c r="E30" s="289" t="s">
        <v>96</v>
      </c>
      <c r="F30" s="290">
        <v>1200</v>
      </c>
      <c r="G30" s="291">
        <v>250</v>
      </c>
      <c r="H30" s="296" t="s">
        <v>52</v>
      </c>
      <c r="I30" s="296" t="s">
        <v>103</v>
      </c>
      <c r="J30" s="289" t="s">
        <v>393</v>
      </c>
      <c r="K30" s="332" t="s">
        <v>209</v>
      </c>
    </row>
    <row r="31" spans="1:11" x14ac:dyDescent="0.2">
      <c r="B31" s="645" t="s">
        <v>679</v>
      </c>
      <c r="C31" s="288" t="s">
        <v>681</v>
      </c>
      <c r="D31" s="290">
        <v>30000</v>
      </c>
      <c r="E31" s="289" t="s">
        <v>96</v>
      </c>
      <c r="F31" s="290">
        <v>200</v>
      </c>
      <c r="G31" s="291">
        <f t="shared" si="0"/>
        <v>150</v>
      </c>
      <c r="H31" s="296" t="s">
        <v>52</v>
      </c>
      <c r="I31" s="296" t="s">
        <v>103</v>
      </c>
      <c r="J31" s="289" t="s">
        <v>393</v>
      </c>
      <c r="K31" s="332" t="s">
        <v>932</v>
      </c>
    </row>
    <row r="32" spans="1:11" x14ac:dyDescent="0.2">
      <c r="B32" s="645" t="s">
        <v>679</v>
      </c>
      <c r="C32" s="288" t="s">
        <v>682</v>
      </c>
      <c r="D32" s="290">
        <v>200000</v>
      </c>
      <c r="E32" s="289" t="s">
        <v>96</v>
      </c>
      <c r="F32" s="290">
        <v>2000</v>
      </c>
      <c r="G32" s="291">
        <f t="shared" si="0"/>
        <v>100</v>
      </c>
      <c r="H32" s="296" t="s">
        <v>52</v>
      </c>
      <c r="I32" s="296" t="s">
        <v>103</v>
      </c>
      <c r="J32" s="289" t="s">
        <v>393</v>
      </c>
      <c r="K32" s="332" t="s">
        <v>202</v>
      </c>
    </row>
    <row r="33" spans="1:11" x14ac:dyDescent="0.2">
      <c r="B33" s="645" t="s">
        <v>201</v>
      </c>
      <c r="C33" s="288" t="s">
        <v>500</v>
      </c>
      <c r="D33" s="290">
        <v>360000</v>
      </c>
      <c r="E33" s="292" t="s">
        <v>96</v>
      </c>
      <c r="F33" s="293">
        <v>2000</v>
      </c>
      <c r="G33" s="291">
        <f t="shared" si="0"/>
        <v>180</v>
      </c>
      <c r="H33" s="296" t="s">
        <v>52</v>
      </c>
      <c r="I33" s="296" t="s">
        <v>103</v>
      </c>
      <c r="J33" s="292" t="s">
        <v>393</v>
      </c>
      <c r="K33" s="333" t="s">
        <v>204</v>
      </c>
    </row>
    <row r="34" spans="1:11" x14ac:dyDescent="0.2">
      <c r="B34" s="645" t="s">
        <v>201</v>
      </c>
      <c r="C34" s="288" t="s">
        <v>501</v>
      </c>
      <c r="D34" s="290">
        <v>560000</v>
      </c>
      <c r="E34" s="292" t="s">
        <v>96</v>
      </c>
      <c r="F34" s="293">
        <v>3500</v>
      </c>
      <c r="G34" s="291">
        <f t="shared" si="0"/>
        <v>160</v>
      </c>
      <c r="H34" s="296" t="s">
        <v>52</v>
      </c>
      <c r="I34" s="296" t="s">
        <v>103</v>
      </c>
      <c r="J34" s="292" t="s">
        <v>393</v>
      </c>
      <c r="K34" s="333" t="s">
        <v>202</v>
      </c>
    </row>
    <row r="35" spans="1:11" x14ac:dyDescent="0.2">
      <c r="B35" s="645" t="s">
        <v>201</v>
      </c>
      <c r="C35" s="288" t="s">
        <v>455</v>
      </c>
      <c r="D35" s="290">
        <v>425000</v>
      </c>
      <c r="E35" s="292" t="s">
        <v>96</v>
      </c>
      <c r="F35" s="293">
        <v>1700</v>
      </c>
      <c r="G35" s="291">
        <f t="shared" si="0"/>
        <v>250</v>
      </c>
      <c r="H35" s="296" t="s">
        <v>52</v>
      </c>
      <c r="I35" s="296" t="s">
        <v>103</v>
      </c>
      <c r="J35" s="292" t="s">
        <v>393</v>
      </c>
      <c r="K35" s="333" t="s">
        <v>468</v>
      </c>
    </row>
    <row r="36" spans="1:11" ht="44.25" customHeight="1" x14ac:dyDescent="0.2">
      <c r="B36" s="645" t="s">
        <v>201</v>
      </c>
      <c r="C36" s="288" t="s">
        <v>456</v>
      </c>
      <c r="D36" s="290">
        <v>200</v>
      </c>
      <c r="E36" s="292" t="s">
        <v>101</v>
      </c>
      <c r="F36" s="293">
        <v>1</v>
      </c>
      <c r="G36" s="291">
        <f t="shared" si="0"/>
        <v>200</v>
      </c>
      <c r="H36" s="296" t="s">
        <v>52</v>
      </c>
      <c r="I36" s="296" t="s">
        <v>52</v>
      </c>
      <c r="J36" s="292" t="s">
        <v>393</v>
      </c>
      <c r="K36" s="809" t="s">
        <v>683</v>
      </c>
    </row>
    <row r="37" spans="1:11" ht="38.25" x14ac:dyDescent="0.2">
      <c r="B37" s="645" t="s">
        <v>201</v>
      </c>
      <c r="C37" s="288" t="s">
        <v>457</v>
      </c>
      <c r="D37" s="290">
        <v>200</v>
      </c>
      <c r="E37" s="292" t="s">
        <v>101</v>
      </c>
      <c r="F37" s="293">
        <v>1</v>
      </c>
      <c r="G37" s="291">
        <f t="shared" si="0"/>
        <v>200</v>
      </c>
      <c r="H37" s="296" t="s">
        <v>52</v>
      </c>
      <c r="I37" s="296" t="s">
        <v>52</v>
      </c>
      <c r="J37" s="292" t="s">
        <v>393</v>
      </c>
      <c r="K37" s="809" t="s">
        <v>684</v>
      </c>
    </row>
    <row r="38" spans="1:11" ht="38.25" x14ac:dyDescent="0.2">
      <c r="B38" s="645" t="s">
        <v>201</v>
      </c>
      <c r="C38" s="297" t="s">
        <v>458</v>
      </c>
      <c r="D38" s="290">
        <v>180</v>
      </c>
      <c r="E38" s="292" t="s">
        <v>101</v>
      </c>
      <c r="F38" s="293">
        <v>1</v>
      </c>
      <c r="G38" s="291">
        <f t="shared" si="0"/>
        <v>180</v>
      </c>
      <c r="H38" s="296" t="s">
        <v>52</v>
      </c>
      <c r="I38" s="296" t="s">
        <v>52</v>
      </c>
      <c r="J38" s="292" t="s">
        <v>393</v>
      </c>
      <c r="K38" s="809" t="s">
        <v>685</v>
      </c>
    </row>
    <row r="39" spans="1:11" x14ac:dyDescent="0.2">
      <c r="B39" s="645" t="s">
        <v>203</v>
      </c>
      <c r="C39" s="288" t="s">
        <v>502</v>
      </c>
      <c r="D39" s="290">
        <v>340000</v>
      </c>
      <c r="E39" s="292" t="s">
        <v>96</v>
      </c>
      <c r="F39" s="293">
        <v>1000</v>
      </c>
      <c r="G39" s="291">
        <f t="shared" si="0"/>
        <v>340</v>
      </c>
      <c r="H39" s="296" t="s">
        <v>52</v>
      </c>
      <c r="I39" s="296" t="s">
        <v>103</v>
      </c>
      <c r="J39" s="292" t="s">
        <v>393</v>
      </c>
      <c r="K39" s="809" t="s">
        <v>204</v>
      </c>
    </row>
    <row r="40" spans="1:11" x14ac:dyDescent="0.2">
      <c r="B40" s="645" t="s">
        <v>203</v>
      </c>
      <c r="C40" s="288" t="s">
        <v>535</v>
      </c>
      <c r="D40" s="290">
        <v>510000</v>
      </c>
      <c r="E40" s="292" t="s">
        <v>96</v>
      </c>
      <c r="F40" s="293">
        <v>1700</v>
      </c>
      <c r="G40" s="291">
        <f t="shared" si="0"/>
        <v>300</v>
      </c>
      <c r="H40" s="296" t="s">
        <v>52</v>
      </c>
      <c r="I40" s="296" t="s">
        <v>103</v>
      </c>
      <c r="J40" s="292" t="s">
        <v>393</v>
      </c>
      <c r="K40" s="809" t="s">
        <v>205</v>
      </c>
    </row>
    <row r="41" spans="1:11" ht="38.25" x14ac:dyDescent="0.2">
      <c r="B41" s="645" t="s">
        <v>203</v>
      </c>
      <c r="C41" s="288" t="s">
        <v>206</v>
      </c>
      <c r="D41" s="290">
        <v>380</v>
      </c>
      <c r="E41" s="292" t="s">
        <v>101</v>
      </c>
      <c r="F41" s="293">
        <v>1</v>
      </c>
      <c r="G41" s="291">
        <f t="shared" si="0"/>
        <v>380</v>
      </c>
      <c r="H41" s="296" t="s">
        <v>52</v>
      </c>
      <c r="I41" s="296" t="s">
        <v>52</v>
      </c>
      <c r="J41" s="292" t="s">
        <v>393</v>
      </c>
      <c r="K41" s="809" t="s">
        <v>686</v>
      </c>
    </row>
    <row r="42" spans="1:11" ht="38.25" x14ac:dyDescent="0.2">
      <c r="B42" s="645" t="s">
        <v>203</v>
      </c>
      <c r="C42" s="288" t="s">
        <v>207</v>
      </c>
      <c r="D42" s="290">
        <v>400</v>
      </c>
      <c r="E42" s="292" t="s">
        <v>101</v>
      </c>
      <c r="F42" s="293">
        <v>1</v>
      </c>
      <c r="G42" s="291">
        <f t="shared" si="0"/>
        <v>400</v>
      </c>
      <c r="H42" s="296" t="s">
        <v>52</v>
      </c>
      <c r="I42" s="296" t="s">
        <v>52</v>
      </c>
      <c r="J42" s="292" t="s">
        <v>393</v>
      </c>
      <c r="K42" s="809" t="s">
        <v>687</v>
      </c>
    </row>
    <row r="43" spans="1:11" ht="38.25" x14ac:dyDescent="0.2">
      <c r="B43" s="645" t="s">
        <v>203</v>
      </c>
      <c r="C43" s="288" t="s">
        <v>208</v>
      </c>
      <c r="D43" s="290">
        <v>340</v>
      </c>
      <c r="E43" s="292" t="s">
        <v>101</v>
      </c>
      <c r="F43" s="293">
        <v>1</v>
      </c>
      <c r="G43" s="291">
        <f t="shared" si="0"/>
        <v>340</v>
      </c>
      <c r="H43" s="296" t="s">
        <v>52</v>
      </c>
      <c r="I43" s="296" t="s">
        <v>52</v>
      </c>
      <c r="J43" s="292" t="s">
        <v>393</v>
      </c>
      <c r="K43" s="809" t="s">
        <v>688</v>
      </c>
    </row>
    <row r="44" spans="1:11" ht="38.25" x14ac:dyDescent="0.4">
      <c r="A44" s="644"/>
      <c r="B44" s="645" t="s">
        <v>203</v>
      </c>
      <c r="C44" s="297" t="s">
        <v>210</v>
      </c>
      <c r="D44" s="290">
        <v>300</v>
      </c>
      <c r="E44" s="292" t="s">
        <v>101</v>
      </c>
      <c r="F44" s="293">
        <v>1</v>
      </c>
      <c r="G44" s="291">
        <f t="shared" si="0"/>
        <v>300</v>
      </c>
      <c r="H44" s="296" t="s">
        <v>52</v>
      </c>
      <c r="I44" s="296" t="s">
        <v>52</v>
      </c>
      <c r="J44" s="292" t="s">
        <v>393</v>
      </c>
      <c r="K44" s="809" t="s">
        <v>688</v>
      </c>
    </row>
    <row r="45" spans="1:11" ht="44.25" x14ac:dyDescent="0.55000000000000004">
      <c r="A45" s="319"/>
      <c r="B45" s="647" t="s">
        <v>163</v>
      </c>
      <c r="C45" s="297" t="s">
        <v>503</v>
      </c>
      <c r="D45" s="300">
        <v>115200000</v>
      </c>
      <c r="E45" s="292" t="s">
        <v>96</v>
      </c>
      <c r="F45" s="293">
        <v>900000</v>
      </c>
      <c r="G45" s="291">
        <f t="shared" si="0"/>
        <v>128</v>
      </c>
      <c r="H45" s="296" t="s">
        <v>103</v>
      </c>
      <c r="I45" s="296" t="s">
        <v>103</v>
      </c>
      <c r="J45" s="292" t="s">
        <v>394</v>
      </c>
      <c r="K45" s="333" t="s">
        <v>689</v>
      </c>
    </row>
    <row r="46" spans="1:11" ht="44.25" x14ac:dyDescent="0.55000000000000004">
      <c r="A46" s="319"/>
      <c r="B46" s="647" t="s">
        <v>163</v>
      </c>
      <c r="C46" s="297" t="s">
        <v>560</v>
      </c>
      <c r="D46" s="300">
        <v>15000000</v>
      </c>
      <c r="E46" s="292" t="s">
        <v>96</v>
      </c>
      <c r="F46" s="293">
        <v>200000</v>
      </c>
      <c r="G46" s="291">
        <f t="shared" ref="G46" si="1">D46/F46</f>
        <v>75</v>
      </c>
      <c r="H46" s="296" t="s">
        <v>103</v>
      </c>
      <c r="I46" s="296" t="s">
        <v>103</v>
      </c>
      <c r="J46" s="292" t="s">
        <v>394</v>
      </c>
      <c r="K46" s="333" t="s">
        <v>576</v>
      </c>
    </row>
    <row r="47" spans="1:11" ht="44.25" x14ac:dyDescent="0.55000000000000004">
      <c r="A47" s="319"/>
      <c r="B47" s="647" t="s">
        <v>163</v>
      </c>
      <c r="C47" s="297" t="s">
        <v>505</v>
      </c>
      <c r="D47" s="300">
        <v>13500000</v>
      </c>
      <c r="E47" s="292" t="s">
        <v>96</v>
      </c>
      <c r="F47" s="293">
        <v>90000</v>
      </c>
      <c r="G47" s="291">
        <f t="shared" ref="G47" si="2">D47/F47</f>
        <v>150</v>
      </c>
      <c r="H47" s="296" t="s">
        <v>103</v>
      </c>
      <c r="I47" s="296" t="s">
        <v>103</v>
      </c>
      <c r="J47" s="292" t="s">
        <v>394</v>
      </c>
      <c r="K47" s="333" t="s">
        <v>690</v>
      </c>
    </row>
    <row r="48" spans="1:11" ht="44.25" x14ac:dyDescent="0.55000000000000004">
      <c r="A48" s="319"/>
      <c r="B48" s="647" t="s">
        <v>163</v>
      </c>
      <c r="C48" s="297" t="s">
        <v>506</v>
      </c>
      <c r="D48" s="300">
        <v>5600000</v>
      </c>
      <c r="E48" s="292" t="s">
        <v>96</v>
      </c>
      <c r="F48" s="293">
        <v>20000</v>
      </c>
      <c r="G48" s="291">
        <f t="shared" ref="G48" si="3">D48/F48</f>
        <v>280</v>
      </c>
      <c r="H48" s="296" t="s">
        <v>103</v>
      </c>
      <c r="I48" s="296" t="s">
        <v>103</v>
      </c>
      <c r="J48" s="292" t="s">
        <v>394</v>
      </c>
      <c r="K48" s="333" t="s">
        <v>507</v>
      </c>
    </row>
    <row r="49" spans="1:11" ht="38.25" x14ac:dyDescent="0.45">
      <c r="A49" s="816"/>
      <c r="B49" s="647" t="s">
        <v>762</v>
      </c>
      <c r="C49" s="297" t="s">
        <v>763</v>
      </c>
      <c r="D49" s="300">
        <v>300</v>
      </c>
      <c r="E49" s="292" t="s">
        <v>101</v>
      </c>
      <c r="F49" s="293">
        <v>1</v>
      </c>
      <c r="G49" s="291">
        <f t="shared" ref="G49" si="4">D49/F49</f>
        <v>300</v>
      </c>
      <c r="H49" s="296">
        <v>0</v>
      </c>
      <c r="I49" s="296" t="s">
        <v>52</v>
      </c>
      <c r="J49" s="292" t="s">
        <v>393</v>
      </c>
      <c r="K49" s="333" t="s">
        <v>765</v>
      </c>
    </row>
    <row r="50" spans="1:11" ht="25.5" x14ac:dyDescent="0.2">
      <c r="B50" s="647" t="s">
        <v>766</v>
      </c>
      <c r="C50" s="297" t="s">
        <v>767</v>
      </c>
      <c r="D50" s="300">
        <v>450</v>
      </c>
      <c r="E50" s="292" t="s">
        <v>101</v>
      </c>
      <c r="F50" s="293">
        <v>1</v>
      </c>
      <c r="G50" s="291">
        <f t="shared" ref="G50" si="5">D50/F50</f>
        <v>450</v>
      </c>
      <c r="H50" s="296" t="s">
        <v>103</v>
      </c>
      <c r="I50" s="296" t="s">
        <v>103</v>
      </c>
      <c r="J50" s="292" t="s">
        <v>393</v>
      </c>
      <c r="K50" s="333" t="s">
        <v>770</v>
      </c>
    </row>
    <row r="51" spans="1:11" ht="25.5" x14ac:dyDescent="0.2">
      <c r="B51" s="647" t="s">
        <v>766</v>
      </c>
      <c r="C51" s="297" t="s">
        <v>769</v>
      </c>
      <c r="D51" s="300">
        <v>600</v>
      </c>
      <c r="E51" s="292" t="s">
        <v>101</v>
      </c>
      <c r="F51" s="293">
        <v>1</v>
      </c>
      <c r="G51" s="291">
        <f t="shared" ref="G51" si="6">D51/F51</f>
        <v>600</v>
      </c>
      <c r="H51" s="296" t="s">
        <v>103</v>
      </c>
      <c r="I51" s="296" t="s">
        <v>103</v>
      </c>
      <c r="J51" s="292" t="s">
        <v>393</v>
      </c>
      <c r="K51" s="333" t="s">
        <v>770</v>
      </c>
    </row>
    <row r="52" spans="1:11" x14ac:dyDescent="0.2">
      <c r="B52" s="647" t="s">
        <v>777</v>
      </c>
      <c r="C52" s="297" t="s">
        <v>778</v>
      </c>
      <c r="D52" s="300">
        <v>250</v>
      </c>
      <c r="E52" s="292" t="s">
        <v>101</v>
      </c>
      <c r="F52" s="293">
        <v>1</v>
      </c>
      <c r="G52" s="291">
        <f t="shared" ref="G52" si="7">D52/F52</f>
        <v>250</v>
      </c>
      <c r="H52" s="296" t="s">
        <v>52</v>
      </c>
      <c r="I52" s="296">
        <v>0</v>
      </c>
      <c r="J52" s="292" t="s">
        <v>393</v>
      </c>
      <c r="K52" s="333" t="s">
        <v>859</v>
      </c>
    </row>
    <row r="53" spans="1:11" x14ac:dyDescent="0.2">
      <c r="B53" s="647" t="s">
        <v>777</v>
      </c>
      <c r="C53" s="297" t="s">
        <v>780</v>
      </c>
      <c r="D53" s="300">
        <v>300</v>
      </c>
      <c r="E53" s="292" t="s">
        <v>101</v>
      </c>
      <c r="F53" s="293">
        <v>1</v>
      </c>
      <c r="G53" s="291">
        <f t="shared" ref="G53" si="8">D53/F53</f>
        <v>300</v>
      </c>
      <c r="H53" s="296" t="s">
        <v>52</v>
      </c>
      <c r="I53" s="296">
        <v>0</v>
      </c>
      <c r="J53" s="292" t="s">
        <v>393</v>
      </c>
      <c r="K53" s="333" t="s">
        <v>768</v>
      </c>
    </row>
    <row r="54" spans="1:11" ht="25.5" x14ac:dyDescent="0.2">
      <c r="B54" s="647" t="s">
        <v>777</v>
      </c>
      <c r="C54" s="297" t="s">
        <v>781</v>
      </c>
      <c r="D54" s="300">
        <v>275</v>
      </c>
      <c r="E54" s="292" t="s">
        <v>101</v>
      </c>
      <c r="F54" s="293">
        <v>1</v>
      </c>
      <c r="G54" s="291">
        <f t="shared" ref="G54" si="9">D54/F54</f>
        <v>275</v>
      </c>
      <c r="H54" s="296" t="s">
        <v>52</v>
      </c>
      <c r="I54" s="296">
        <v>0</v>
      </c>
      <c r="J54" s="292" t="s">
        <v>393</v>
      </c>
      <c r="K54" s="333" t="s">
        <v>859</v>
      </c>
    </row>
    <row r="55" spans="1:11" ht="25.5" x14ac:dyDescent="0.2">
      <c r="B55" s="647" t="s">
        <v>777</v>
      </c>
      <c r="C55" s="297" t="s">
        <v>782</v>
      </c>
      <c r="D55" s="300">
        <v>250</v>
      </c>
      <c r="E55" s="292" t="s">
        <v>101</v>
      </c>
      <c r="F55" s="293">
        <v>1</v>
      </c>
      <c r="G55" s="291">
        <f t="shared" ref="G55" si="10">D55/F55</f>
        <v>250</v>
      </c>
      <c r="H55" s="296" t="s">
        <v>52</v>
      </c>
      <c r="I55" s="296">
        <v>0</v>
      </c>
      <c r="J55" s="292" t="s">
        <v>393</v>
      </c>
      <c r="K55" s="333" t="s">
        <v>860</v>
      </c>
    </row>
    <row r="56" spans="1:11" x14ac:dyDescent="0.2">
      <c r="B56" s="647" t="s">
        <v>784</v>
      </c>
      <c r="C56" s="297" t="s">
        <v>785</v>
      </c>
      <c r="D56" s="300">
        <v>700</v>
      </c>
      <c r="E56" s="292" t="s">
        <v>101</v>
      </c>
      <c r="F56" s="293">
        <v>1</v>
      </c>
      <c r="G56" s="291">
        <f t="shared" ref="G56" si="11">D56/F56</f>
        <v>700</v>
      </c>
      <c r="H56" s="296" t="s">
        <v>103</v>
      </c>
      <c r="I56" s="296" t="s">
        <v>103</v>
      </c>
      <c r="J56" s="292" t="s">
        <v>393</v>
      </c>
      <c r="K56" s="333" t="s">
        <v>786</v>
      </c>
    </row>
    <row r="57" spans="1:11" ht="44.25" x14ac:dyDescent="0.55000000000000004">
      <c r="A57" s="319"/>
      <c r="B57" s="647" t="s">
        <v>787</v>
      </c>
      <c r="C57" s="297" t="s">
        <v>788</v>
      </c>
      <c r="D57" s="300">
        <v>980</v>
      </c>
      <c r="E57" s="292" t="s">
        <v>101</v>
      </c>
      <c r="F57" s="293">
        <v>1</v>
      </c>
      <c r="G57" s="291">
        <f t="shared" ref="G57" si="12">D57/F57</f>
        <v>980</v>
      </c>
      <c r="H57" s="296" t="s">
        <v>103</v>
      </c>
      <c r="I57" s="296" t="s">
        <v>103</v>
      </c>
      <c r="J57" s="292" t="s">
        <v>393</v>
      </c>
      <c r="K57" s="333" t="s">
        <v>790</v>
      </c>
    </row>
    <row r="58" spans="1:11" x14ac:dyDescent="0.2">
      <c r="B58" s="647" t="s">
        <v>796</v>
      </c>
      <c r="C58" s="297" t="s">
        <v>797</v>
      </c>
      <c r="D58" s="300">
        <v>90000</v>
      </c>
      <c r="E58" s="292" t="s">
        <v>96</v>
      </c>
      <c r="F58" s="293">
        <v>300</v>
      </c>
      <c r="G58" s="291">
        <f t="shared" ref="G58" si="13">D58/F58</f>
        <v>300</v>
      </c>
      <c r="H58" s="296" t="s">
        <v>52</v>
      </c>
      <c r="I58" s="296" t="s">
        <v>103</v>
      </c>
      <c r="J58" s="292" t="s">
        <v>393</v>
      </c>
      <c r="K58" s="333" t="s">
        <v>205</v>
      </c>
    </row>
    <row r="59" spans="1:11" x14ac:dyDescent="0.2">
      <c r="B59" s="647" t="s">
        <v>796</v>
      </c>
      <c r="C59" s="297" t="s">
        <v>798</v>
      </c>
      <c r="D59" s="300">
        <v>50000</v>
      </c>
      <c r="E59" s="292" t="s">
        <v>96</v>
      </c>
      <c r="F59" s="293">
        <v>250</v>
      </c>
      <c r="G59" s="291">
        <f t="shared" ref="G59" si="14">D59/F59</f>
        <v>200</v>
      </c>
      <c r="H59" s="296" t="s">
        <v>52</v>
      </c>
      <c r="I59" s="296" t="s">
        <v>103</v>
      </c>
      <c r="J59" s="292" t="s">
        <v>393</v>
      </c>
      <c r="K59" s="333" t="s">
        <v>205</v>
      </c>
    </row>
    <row r="60" spans="1:11" ht="44.25" x14ac:dyDescent="0.55000000000000004">
      <c r="A60" s="319"/>
      <c r="B60" s="647" t="s">
        <v>796</v>
      </c>
      <c r="C60" s="297" t="s">
        <v>799</v>
      </c>
      <c r="D60" s="300">
        <v>280</v>
      </c>
      <c r="E60" s="292" t="s">
        <v>101</v>
      </c>
      <c r="F60" s="293">
        <v>1</v>
      </c>
      <c r="G60" s="291">
        <f t="shared" ref="G60" si="15">D60/F60</f>
        <v>280</v>
      </c>
      <c r="H60" s="296">
        <v>0</v>
      </c>
      <c r="I60" s="296">
        <v>0</v>
      </c>
      <c r="J60" s="292" t="s">
        <v>393</v>
      </c>
      <c r="K60" s="333" t="s">
        <v>800</v>
      </c>
    </row>
    <row r="61" spans="1:11" ht="38.25" x14ac:dyDescent="0.2">
      <c r="B61" s="647" t="s">
        <v>801</v>
      </c>
      <c r="C61" s="297" t="s">
        <v>802</v>
      </c>
      <c r="D61" s="300">
        <v>150</v>
      </c>
      <c r="E61" s="292" t="s">
        <v>101</v>
      </c>
      <c r="F61" s="293">
        <v>1</v>
      </c>
      <c r="G61" s="291">
        <f t="shared" ref="G61" si="16">D61/F61</f>
        <v>150</v>
      </c>
      <c r="H61" s="296">
        <v>0</v>
      </c>
      <c r="I61" s="296">
        <v>0</v>
      </c>
      <c r="J61" s="292" t="s">
        <v>393</v>
      </c>
      <c r="K61" s="333" t="s">
        <v>800</v>
      </c>
    </row>
    <row r="62" spans="1:11" ht="25.5" x14ac:dyDescent="0.2">
      <c r="B62" s="647" t="s">
        <v>803</v>
      </c>
      <c r="C62" s="297" t="s">
        <v>804</v>
      </c>
      <c r="D62" s="300">
        <v>200</v>
      </c>
      <c r="E62" s="292" t="s">
        <v>101</v>
      </c>
      <c r="F62" s="293">
        <v>1</v>
      </c>
      <c r="G62" s="291">
        <f t="shared" ref="G62" si="17">D62/F62</f>
        <v>200</v>
      </c>
      <c r="H62" s="296" t="s">
        <v>103</v>
      </c>
      <c r="I62" s="296" t="s">
        <v>103</v>
      </c>
      <c r="J62" s="292" t="s">
        <v>393</v>
      </c>
      <c r="K62" s="333" t="s">
        <v>807</v>
      </c>
    </row>
    <row r="63" spans="1:11" s="817" customFormat="1" ht="63.75" x14ac:dyDescent="0.2">
      <c r="B63" s="818" t="s">
        <v>805</v>
      </c>
      <c r="C63" s="819" t="s">
        <v>806</v>
      </c>
      <c r="D63" s="820">
        <v>120</v>
      </c>
      <c r="E63" s="821" t="s">
        <v>101</v>
      </c>
      <c r="F63" s="822">
        <v>1</v>
      </c>
      <c r="G63" s="823">
        <f t="shared" ref="G63" si="18">D63/F63</f>
        <v>120</v>
      </c>
      <c r="H63" s="824">
        <v>0</v>
      </c>
      <c r="I63" s="824" t="s">
        <v>52</v>
      </c>
      <c r="J63" s="821" t="s">
        <v>393</v>
      </c>
      <c r="K63" s="825" t="s">
        <v>858</v>
      </c>
    </row>
    <row r="64" spans="1:11" ht="149.25" x14ac:dyDescent="1.85">
      <c r="A64" s="826"/>
      <c r="B64" s="647" t="s">
        <v>808</v>
      </c>
      <c r="C64" s="297" t="s">
        <v>809</v>
      </c>
      <c r="D64" s="290">
        <v>200</v>
      </c>
      <c r="E64" s="292" t="s">
        <v>101</v>
      </c>
      <c r="F64" s="293">
        <v>1</v>
      </c>
      <c r="G64" s="291">
        <f t="shared" si="0"/>
        <v>200</v>
      </c>
      <c r="H64" s="296" t="s">
        <v>52</v>
      </c>
      <c r="I64" s="296" t="s">
        <v>52</v>
      </c>
      <c r="J64" s="292" t="s">
        <v>393</v>
      </c>
      <c r="K64" s="333" t="s">
        <v>949</v>
      </c>
    </row>
    <row r="65" spans="2:11" x14ac:dyDescent="0.2">
      <c r="B65" s="323" t="s">
        <v>288</v>
      </c>
      <c r="C65" s="324"/>
      <c r="D65" s="325"/>
      <c r="E65" s="325"/>
      <c r="F65" s="325"/>
      <c r="G65" s="325"/>
      <c r="H65" s="326"/>
      <c r="I65" s="326"/>
      <c r="J65" s="329"/>
      <c r="K65" s="327"/>
    </row>
    <row r="67" spans="2:11" x14ac:dyDescent="0.2">
      <c r="B67" s="303" t="s">
        <v>302</v>
      </c>
    </row>
    <row r="68" spans="2:11" x14ac:dyDescent="0.2">
      <c r="B68" s="913" t="s">
        <v>710</v>
      </c>
      <c r="C68" s="914"/>
      <c r="D68" s="915"/>
    </row>
    <row r="69" spans="2:11" ht="12.75" customHeight="1" x14ac:dyDescent="0.2">
      <c r="B69" s="80" t="s">
        <v>49</v>
      </c>
      <c r="C69" s="665">
        <v>0.25</v>
      </c>
      <c r="D69" s="773" t="s">
        <v>937</v>
      </c>
      <c r="E69" s="774"/>
      <c r="F69" s="673"/>
      <c r="G69" s="673"/>
      <c r="H69" s="673"/>
    </row>
    <row r="70" spans="2:11" ht="12.75" customHeight="1" x14ac:dyDescent="0.2">
      <c r="B70" s="80" t="s">
        <v>536</v>
      </c>
      <c r="C70" s="81">
        <v>0.5</v>
      </c>
      <c r="D70" s="773" t="s">
        <v>937</v>
      </c>
      <c r="E70" s="775"/>
      <c r="F70" s="671"/>
      <c r="G70" s="671"/>
      <c r="H70" s="671"/>
    </row>
    <row r="71" spans="2:11" ht="12.75" customHeight="1" x14ac:dyDescent="0.2">
      <c r="B71" s="80" t="s">
        <v>509</v>
      </c>
      <c r="C71" s="81">
        <v>0.75</v>
      </c>
      <c r="D71" s="773" t="s">
        <v>937</v>
      </c>
      <c r="E71" s="775"/>
      <c r="F71" s="671"/>
      <c r="G71" s="671"/>
      <c r="H71" s="671"/>
    </row>
    <row r="72" spans="2:11" ht="12.75" customHeight="1" x14ac:dyDescent="0.2">
      <c r="B72" s="783" t="s">
        <v>606</v>
      </c>
      <c r="C72" s="782"/>
      <c r="D72" s="782"/>
      <c r="E72" s="775"/>
      <c r="F72" s="671"/>
      <c r="G72" s="671"/>
      <c r="H72" s="671"/>
    </row>
    <row r="73" spans="2:11" x14ac:dyDescent="0.2">
      <c r="B73" s="913" t="s">
        <v>711</v>
      </c>
      <c r="C73" s="914"/>
      <c r="D73" s="915"/>
    </row>
    <row r="74" spans="2:11" ht="12.75" customHeight="1" x14ac:dyDescent="0.2">
      <c r="B74" s="80" t="s">
        <v>712</v>
      </c>
      <c r="C74" s="665">
        <v>0.25</v>
      </c>
      <c r="D74" s="773" t="s">
        <v>779</v>
      </c>
      <c r="E74" s="810"/>
      <c r="F74" s="673"/>
      <c r="G74" s="673"/>
      <c r="H74" s="673"/>
    </row>
    <row r="75" spans="2:11" ht="33" customHeight="1" x14ac:dyDescent="0.2">
      <c r="B75" s="80" t="s">
        <v>739</v>
      </c>
      <c r="C75" s="81">
        <v>0.5</v>
      </c>
      <c r="D75" s="773" t="s">
        <v>740</v>
      </c>
      <c r="E75" s="811"/>
      <c r="F75" s="673"/>
      <c r="G75" s="673"/>
      <c r="H75" s="673"/>
    </row>
    <row r="76" spans="2:11" ht="33" customHeight="1" x14ac:dyDescent="0.2">
      <c r="B76" s="80" t="s">
        <v>741</v>
      </c>
      <c r="C76" s="81" t="s">
        <v>742</v>
      </c>
      <c r="D76" s="773" t="s">
        <v>783</v>
      </c>
      <c r="E76" s="811"/>
      <c r="F76" s="673"/>
      <c r="G76" s="673"/>
      <c r="H76" s="673"/>
    </row>
    <row r="77" spans="2:11" x14ac:dyDescent="0.2">
      <c r="B77" s="913" t="s">
        <v>713</v>
      </c>
      <c r="C77" s="914"/>
      <c r="D77" s="915"/>
    </row>
    <row r="78" spans="2:11" ht="12.75" customHeight="1" x14ac:dyDescent="0.2">
      <c r="B78" s="80" t="s">
        <v>714</v>
      </c>
      <c r="C78" s="665">
        <v>0.25</v>
      </c>
      <c r="D78" s="773" t="s">
        <v>902</v>
      </c>
      <c r="E78" s="810"/>
      <c r="F78" s="673"/>
      <c r="G78" s="673"/>
      <c r="H78" s="673"/>
    </row>
    <row r="79" spans="2:11" ht="12.75" customHeight="1" x14ac:dyDescent="0.2">
      <c r="B79" s="80" t="s">
        <v>715</v>
      </c>
      <c r="C79" s="81">
        <v>0.25</v>
      </c>
      <c r="D79" s="773" t="s">
        <v>902</v>
      </c>
      <c r="E79" s="775"/>
      <c r="F79" s="671"/>
      <c r="G79" s="671"/>
      <c r="H79" s="671"/>
    </row>
    <row r="80" spans="2:11" ht="12.75" customHeight="1" x14ac:dyDescent="0.2">
      <c r="B80" s="80" t="s">
        <v>716</v>
      </c>
      <c r="C80" s="81">
        <v>0.25</v>
      </c>
      <c r="D80" s="773" t="s">
        <v>902</v>
      </c>
      <c r="E80" s="775"/>
      <c r="F80" s="671"/>
      <c r="G80" s="671"/>
      <c r="H80" s="671"/>
    </row>
    <row r="81" spans="2:8" ht="12.75" customHeight="1" x14ac:dyDescent="0.2">
      <c r="B81" s="80" t="s">
        <v>717</v>
      </c>
      <c r="C81" s="81">
        <v>0.25</v>
      </c>
      <c r="D81" s="773" t="s">
        <v>902</v>
      </c>
      <c r="E81" s="775"/>
      <c r="F81" s="671"/>
      <c r="G81" s="671"/>
      <c r="H81" s="671"/>
    </row>
    <row r="82" spans="2:8" ht="12.75" customHeight="1" x14ac:dyDescent="0.2">
      <c r="B82" s="80" t="s">
        <v>718</v>
      </c>
      <c r="C82" s="81">
        <v>0.25</v>
      </c>
      <c r="D82" s="773" t="s">
        <v>902</v>
      </c>
      <c r="E82" s="775"/>
      <c r="F82" s="671"/>
      <c r="G82" s="671"/>
      <c r="H82" s="671"/>
    </row>
    <row r="83" spans="2:8" ht="12.75" customHeight="1" x14ac:dyDescent="0.2">
      <c r="B83" s="80" t="s">
        <v>719</v>
      </c>
      <c r="C83" s="81">
        <v>0.25</v>
      </c>
      <c r="D83" s="773" t="s">
        <v>902</v>
      </c>
      <c r="E83" s="775"/>
      <c r="F83" s="671"/>
      <c r="G83" s="671"/>
      <c r="H83" s="671"/>
    </row>
    <row r="84" spans="2:8" ht="12.75" customHeight="1" x14ac:dyDescent="0.2">
      <c r="B84" s="80" t="s">
        <v>638</v>
      </c>
      <c r="C84" s="81">
        <v>0.25</v>
      </c>
      <c r="D84" s="773" t="s">
        <v>902</v>
      </c>
      <c r="E84" s="775"/>
      <c r="F84" s="671"/>
      <c r="G84" s="671"/>
      <c r="H84" s="671"/>
    </row>
    <row r="85" spans="2:8" ht="12.75" customHeight="1" x14ac:dyDescent="0.2">
      <c r="B85" s="80" t="s">
        <v>720</v>
      </c>
      <c r="C85" s="81">
        <v>0.25</v>
      </c>
      <c r="D85" s="773" t="s">
        <v>902</v>
      </c>
      <c r="E85" s="775"/>
      <c r="F85" s="671"/>
      <c r="G85" s="671"/>
      <c r="H85" s="671"/>
    </row>
    <row r="86" spans="2:8" ht="12.75" customHeight="1" x14ac:dyDescent="0.2">
      <c r="B86" s="80" t="s">
        <v>721</v>
      </c>
      <c r="C86" s="81">
        <v>0.25</v>
      </c>
      <c r="D86" s="773" t="s">
        <v>902</v>
      </c>
      <c r="E86" s="775"/>
      <c r="F86" s="671"/>
      <c r="G86" s="671"/>
      <c r="H86" s="671"/>
    </row>
    <row r="87" spans="2:8" ht="12.75" customHeight="1" x14ac:dyDescent="0.2">
      <c r="B87" s="80" t="s">
        <v>722</v>
      </c>
      <c r="C87" s="81">
        <v>0.25</v>
      </c>
      <c r="D87" s="773" t="s">
        <v>902</v>
      </c>
      <c r="E87" s="775"/>
      <c r="F87" s="671"/>
      <c r="G87" s="671"/>
      <c r="H87" s="671"/>
    </row>
    <row r="88" spans="2:8" ht="12.75" customHeight="1" x14ac:dyDescent="0.2">
      <c r="B88" s="80" t="s">
        <v>723</v>
      </c>
      <c r="C88" s="81">
        <v>0.25</v>
      </c>
      <c r="D88" s="773" t="s">
        <v>902</v>
      </c>
      <c r="E88" s="775"/>
      <c r="F88" s="671"/>
      <c r="G88" s="671"/>
      <c r="H88" s="671"/>
    </row>
    <row r="89" spans="2:8" ht="12.75" customHeight="1" x14ac:dyDescent="0.2">
      <c r="B89" s="98" t="s">
        <v>724</v>
      </c>
      <c r="C89" s="99">
        <v>0.25</v>
      </c>
      <c r="D89" s="773" t="s">
        <v>902</v>
      </c>
      <c r="E89" s="775"/>
      <c r="F89" s="671"/>
      <c r="G89" s="671"/>
      <c r="H89" s="671"/>
    </row>
    <row r="90" spans="2:8" ht="12.75" customHeight="1" x14ac:dyDescent="0.2">
      <c r="B90" s="918" t="s">
        <v>725</v>
      </c>
      <c r="C90" s="919"/>
      <c r="D90" s="919"/>
      <c r="E90" s="775"/>
      <c r="F90" s="671"/>
      <c r="G90" s="671"/>
      <c r="H90" s="671"/>
    </row>
    <row r="91" spans="2:8" ht="12.75" customHeight="1" x14ac:dyDescent="0.2">
      <c r="B91" s="920" t="s">
        <v>764</v>
      </c>
      <c r="C91" s="921"/>
      <c r="D91" s="921"/>
      <c r="E91" s="775"/>
      <c r="F91" s="671"/>
      <c r="G91" s="671"/>
      <c r="H91" s="671"/>
    </row>
    <row r="92" spans="2:8" x14ac:dyDescent="0.2">
      <c r="B92" s="913" t="s">
        <v>726</v>
      </c>
      <c r="C92" s="914"/>
      <c r="D92" s="915"/>
    </row>
    <row r="93" spans="2:8" ht="25.5" customHeight="1" x14ac:dyDescent="0.2">
      <c r="B93" s="80" t="s">
        <v>469</v>
      </c>
      <c r="C93" s="81">
        <v>0.5</v>
      </c>
      <c r="D93" s="916" t="s">
        <v>470</v>
      </c>
      <c r="E93" s="917"/>
      <c r="F93" s="666"/>
      <c r="G93" s="666"/>
      <c r="H93" s="666"/>
    </row>
    <row r="94" spans="2:8" x14ac:dyDescent="0.2">
      <c r="B94" s="813" t="s">
        <v>727</v>
      </c>
      <c r="C94" s="812"/>
      <c r="D94" s="812"/>
      <c r="E94" s="782"/>
      <c r="F94" s="666"/>
      <c r="G94" s="666"/>
      <c r="H94" s="666"/>
    </row>
    <row r="95" spans="2:8" x14ac:dyDescent="0.2">
      <c r="B95" s="913" t="s">
        <v>771</v>
      </c>
      <c r="C95" s="914"/>
      <c r="D95" s="915"/>
    </row>
    <row r="96" spans="2:8" ht="12.75" customHeight="1" x14ac:dyDescent="0.2">
      <c r="B96" s="80" t="s">
        <v>772</v>
      </c>
      <c r="C96" s="665">
        <v>0</v>
      </c>
      <c r="D96" s="773" t="s">
        <v>776</v>
      </c>
      <c r="E96" s="814"/>
      <c r="F96" s="673"/>
      <c r="G96" s="673"/>
      <c r="H96" s="673"/>
    </row>
    <row r="97" spans="2:8" ht="12.75" customHeight="1" x14ac:dyDescent="0.2">
      <c r="B97" s="80" t="s">
        <v>773</v>
      </c>
      <c r="C97" s="81">
        <v>0</v>
      </c>
      <c r="D97" s="773" t="s">
        <v>776</v>
      </c>
      <c r="E97" s="775"/>
      <c r="F97" s="671"/>
      <c r="G97" s="671"/>
      <c r="H97" s="671"/>
    </row>
    <row r="98" spans="2:8" ht="12.75" customHeight="1" x14ac:dyDescent="0.2">
      <c r="B98" s="80" t="s">
        <v>774</v>
      </c>
      <c r="C98" s="81">
        <v>0</v>
      </c>
      <c r="D98" s="773" t="s">
        <v>776</v>
      </c>
      <c r="E98" s="775"/>
      <c r="F98" s="671"/>
      <c r="G98" s="671"/>
      <c r="H98" s="671"/>
    </row>
    <row r="99" spans="2:8" ht="12.75" customHeight="1" x14ac:dyDescent="0.2">
      <c r="B99" s="80" t="s">
        <v>775</v>
      </c>
      <c r="C99" s="81">
        <v>0</v>
      </c>
      <c r="D99" s="773" t="s">
        <v>776</v>
      </c>
      <c r="E99" s="775"/>
      <c r="F99" s="671"/>
      <c r="G99" s="671"/>
      <c r="H99" s="671"/>
    </row>
    <row r="100" spans="2:8" x14ac:dyDescent="0.2">
      <c r="B100" s="913" t="s">
        <v>789</v>
      </c>
      <c r="C100" s="914"/>
      <c r="D100" s="915"/>
    </row>
    <row r="101" spans="2:8" ht="12.75" customHeight="1" x14ac:dyDescent="0.2">
      <c r="B101" s="80" t="s">
        <v>791</v>
      </c>
      <c r="C101" s="665">
        <v>0</v>
      </c>
      <c r="D101" s="773" t="s">
        <v>795</v>
      </c>
      <c r="E101" s="814"/>
      <c r="F101" s="673"/>
      <c r="G101" s="673"/>
      <c r="H101" s="673"/>
    </row>
    <row r="102" spans="2:8" ht="12.75" customHeight="1" x14ac:dyDescent="0.2">
      <c r="B102" s="80" t="s">
        <v>792</v>
      </c>
      <c r="C102" s="81">
        <v>0</v>
      </c>
      <c r="D102" s="773" t="s">
        <v>795</v>
      </c>
      <c r="E102" s="775"/>
      <c r="F102" s="671"/>
      <c r="G102" s="671"/>
      <c r="H102" s="671"/>
    </row>
    <row r="103" spans="2:8" ht="12.75" customHeight="1" x14ac:dyDescent="0.2">
      <c r="B103" s="80" t="s">
        <v>793</v>
      </c>
      <c r="C103" s="81">
        <v>0</v>
      </c>
      <c r="D103" s="773" t="s">
        <v>795</v>
      </c>
      <c r="E103" s="775"/>
      <c r="F103" s="671"/>
      <c r="G103" s="671"/>
      <c r="H103" s="671"/>
    </row>
    <row r="104" spans="2:8" ht="12.75" customHeight="1" x14ac:dyDescent="0.2">
      <c r="B104" s="80" t="s">
        <v>794</v>
      </c>
      <c r="C104" s="81">
        <v>0</v>
      </c>
      <c r="D104" s="773" t="s">
        <v>795</v>
      </c>
      <c r="E104" s="775"/>
      <c r="F104" s="671"/>
      <c r="G104" s="671"/>
      <c r="H104" s="671"/>
    </row>
    <row r="105" spans="2:8" x14ac:dyDescent="0.2">
      <c r="B105" s="913" t="s">
        <v>301</v>
      </c>
      <c r="C105" s="914"/>
      <c r="D105" s="915"/>
    </row>
    <row r="106" spans="2:8" x14ac:dyDescent="0.2">
      <c r="B106" s="80" t="s">
        <v>137</v>
      </c>
      <c r="C106" s="81">
        <v>0</v>
      </c>
      <c r="D106" s="95"/>
    </row>
    <row r="107" spans="2:8" x14ac:dyDescent="0.2">
      <c r="B107" s="83" t="s">
        <v>138</v>
      </c>
      <c r="C107" s="84">
        <v>0</v>
      </c>
      <c r="D107" s="97"/>
    </row>
    <row r="108" spans="2:8" x14ac:dyDescent="0.2">
      <c r="B108" s="913" t="s">
        <v>300</v>
      </c>
      <c r="C108" s="914"/>
      <c r="D108" s="915"/>
    </row>
    <row r="109" spans="2:8" x14ac:dyDescent="0.2">
      <c r="B109" s="77" t="s">
        <v>139</v>
      </c>
      <c r="C109" s="92">
        <v>0</v>
      </c>
      <c r="D109" s="93"/>
    </row>
    <row r="110" spans="2:8" x14ac:dyDescent="0.2">
      <c r="B110" s="80" t="s">
        <v>9</v>
      </c>
      <c r="C110" s="94">
        <v>0</v>
      </c>
      <c r="D110" s="95"/>
    </row>
    <row r="111" spans="2:8" x14ac:dyDescent="0.2">
      <c r="B111" s="83" t="s">
        <v>144</v>
      </c>
      <c r="C111" s="96">
        <v>0</v>
      </c>
      <c r="D111" s="97"/>
    </row>
    <row r="112" spans="2:8" x14ac:dyDescent="0.2">
      <c r="B112" s="6"/>
    </row>
    <row r="113" spans="1:10" x14ac:dyDescent="0.2">
      <c r="B113" s="844" t="s">
        <v>810</v>
      </c>
    </row>
    <row r="114" spans="1:10" s="827" customFormat="1" x14ac:dyDescent="0.2">
      <c r="B114" s="842" t="s">
        <v>811</v>
      </c>
      <c r="C114" s="828"/>
      <c r="D114" s="829"/>
      <c r="E114" s="830"/>
      <c r="F114" s="831"/>
      <c r="G114" s="832"/>
      <c r="H114" s="833"/>
      <c r="I114" s="834"/>
      <c r="J114" s="834"/>
    </row>
    <row r="115" spans="1:10" s="827" customFormat="1" x14ac:dyDescent="0.2">
      <c r="B115" s="835"/>
      <c r="C115" s="828"/>
      <c r="D115" s="829"/>
      <c r="E115" s="830"/>
      <c r="F115" s="831"/>
      <c r="G115" s="832"/>
      <c r="H115" s="833"/>
      <c r="I115" s="834"/>
      <c r="J115" s="834"/>
    </row>
    <row r="116" spans="1:10" s="827" customFormat="1" x14ac:dyDescent="0.2">
      <c r="B116" s="843" t="s">
        <v>812</v>
      </c>
      <c r="C116" s="922" t="s">
        <v>813</v>
      </c>
      <c r="D116" s="923"/>
      <c r="E116" s="923"/>
      <c r="F116" s="923"/>
      <c r="G116" s="924"/>
      <c r="I116" s="834"/>
    </row>
    <row r="117" spans="1:10" s="827" customFormat="1" x14ac:dyDescent="0.2">
      <c r="B117" s="845" t="s">
        <v>814</v>
      </c>
      <c r="C117" s="925" t="s">
        <v>815</v>
      </c>
      <c r="D117" s="926"/>
      <c r="E117" s="926"/>
      <c r="F117" s="926"/>
      <c r="G117" s="927"/>
      <c r="H117" s="838"/>
    </row>
    <row r="118" spans="1:10" s="827" customFormat="1" x14ac:dyDescent="0.2">
      <c r="B118" s="846" t="s">
        <v>816</v>
      </c>
      <c r="C118" s="928" t="s">
        <v>816</v>
      </c>
      <c r="D118" s="929"/>
      <c r="E118" s="929"/>
      <c r="F118" s="929"/>
      <c r="G118" s="930"/>
      <c r="H118" s="838"/>
    </row>
    <row r="119" spans="1:10" s="827" customFormat="1" ht="30" x14ac:dyDescent="0.2">
      <c r="A119" s="849"/>
      <c r="B119" s="846" t="s">
        <v>772</v>
      </c>
      <c r="C119" s="928" t="s">
        <v>817</v>
      </c>
      <c r="D119" s="929"/>
      <c r="E119" s="929"/>
      <c r="F119" s="929"/>
      <c r="G119" s="930"/>
      <c r="H119" s="838"/>
    </row>
    <row r="120" spans="1:10" s="827" customFormat="1" x14ac:dyDescent="0.2">
      <c r="B120" s="846" t="s">
        <v>818</v>
      </c>
      <c r="C120" s="928" t="s">
        <v>819</v>
      </c>
      <c r="D120" s="929"/>
      <c r="E120" s="929"/>
      <c r="F120" s="929"/>
      <c r="G120" s="930"/>
      <c r="H120" s="838"/>
    </row>
    <row r="121" spans="1:10" s="827" customFormat="1" x14ac:dyDescent="0.2">
      <c r="B121" s="846" t="s">
        <v>820</v>
      </c>
      <c r="C121" s="928" t="s">
        <v>821</v>
      </c>
      <c r="D121" s="929"/>
      <c r="E121" s="929"/>
      <c r="F121" s="929"/>
      <c r="G121" s="930"/>
      <c r="H121" s="838"/>
    </row>
    <row r="122" spans="1:10" s="827" customFormat="1" x14ac:dyDescent="0.2">
      <c r="B122" s="846" t="s">
        <v>715</v>
      </c>
      <c r="C122" s="928" t="s">
        <v>822</v>
      </c>
      <c r="D122" s="929"/>
      <c r="E122" s="929"/>
      <c r="F122" s="929"/>
      <c r="G122" s="930"/>
      <c r="H122" s="838"/>
    </row>
    <row r="123" spans="1:10" s="827" customFormat="1" ht="27" x14ac:dyDescent="0.2">
      <c r="A123" s="848"/>
      <c r="B123" s="846" t="s">
        <v>723</v>
      </c>
      <c r="C123" s="928" t="s">
        <v>856</v>
      </c>
      <c r="D123" s="929"/>
      <c r="E123" s="929"/>
      <c r="F123" s="929"/>
      <c r="G123" s="930"/>
      <c r="H123" s="838"/>
    </row>
    <row r="124" spans="1:10" s="827" customFormat="1" x14ac:dyDescent="0.2">
      <c r="B124" s="846" t="s">
        <v>823</v>
      </c>
      <c r="C124" s="928" t="s">
        <v>824</v>
      </c>
      <c r="D124" s="929"/>
      <c r="E124" s="929"/>
      <c r="F124" s="929"/>
      <c r="G124" s="930"/>
      <c r="H124" s="838"/>
    </row>
    <row r="125" spans="1:10" s="827" customFormat="1" x14ac:dyDescent="0.2">
      <c r="B125" s="846" t="s">
        <v>638</v>
      </c>
      <c r="C125" s="928"/>
      <c r="D125" s="929"/>
      <c r="E125" s="929"/>
      <c r="F125" s="929"/>
      <c r="G125" s="930"/>
      <c r="H125" s="838"/>
    </row>
    <row r="126" spans="1:10" s="827" customFormat="1" x14ac:dyDescent="0.2">
      <c r="B126" s="846" t="s">
        <v>825</v>
      </c>
      <c r="C126" s="928"/>
      <c r="D126" s="929"/>
      <c r="E126" s="929"/>
      <c r="F126" s="929"/>
      <c r="G126" s="930"/>
      <c r="H126" s="838"/>
    </row>
    <row r="127" spans="1:10" s="827" customFormat="1" x14ac:dyDescent="0.2">
      <c r="B127" s="846" t="s">
        <v>826</v>
      </c>
      <c r="C127" s="928" t="s">
        <v>827</v>
      </c>
      <c r="D127" s="929"/>
      <c r="E127" s="929"/>
      <c r="F127" s="929"/>
      <c r="G127" s="930"/>
      <c r="H127" s="838"/>
    </row>
    <row r="128" spans="1:10" s="827" customFormat="1" x14ac:dyDescent="0.2">
      <c r="B128" s="846" t="s">
        <v>828</v>
      </c>
      <c r="C128" s="928"/>
      <c r="D128" s="929"/>
      <c r="E128" s="929"/>
      <c r="F128" s="929"/>
      <c r="G128" s="930"/>
      <c r="H128" s="838"/>
    </row>
    <row r="129" spans="1:11" s="827" customFormat="1" x14ac:dyDescent="0.2">
      <c r="B129" s="846" t="s">
        <v>829</v>
      </c>
      <c r="C129" s="928"/>
      <c r="D129" s="929"/>
      <c r="E129" s="929"/>
      <c r="F129" s="929"/>
      <c r="G129" s="930"/>
      <c r="H129" s="838"/>
    </row>
    <row r="130" spans="1:11" s="827" customFormat="1" x14ac:dyDescent="0.2">
      <c r="B130" s="846" t="s">
        <v>830</v>
      </c>
      <c r="C130" s="928"/>
      <c r="D130" s="929"/>
      <c r="E130" s="929"/>
      <c r="F130" s="929"/>
      <c r="G130" s="930"/>
      <c r="H130" s="838"/>
    </row>
    <row r="131" spans="1:11" s="827" customFormat="1" x14ac:dyDescent="0.2">
      <c r="B131" s="846" t="s">
        <v>718</v>
      </c>
      <c r="C131" s="928"/>
      <c r="D131" s="929"/>
      <c r="E131" s="929"/>
      <c r="F131" s="929"/>
      <c r="G131" s="930"/>
      <c r="H131" s="838"/>
    </row>
    <row r="132" spans="1:11" s="827" customFormat="1" x14ac:dyDescent="0.2">
      <c r="B132" s="846" t="s">
        <v>831</v>
      </c>
      <c r="C132" s="928"/>
      <c r="D132" s="929"/>
      <c r="E132" s="929"/>
      <c r="F132" s="929"/>
      <c r="G132" s="930"/>
      <c r="H132" s="838"/>
    </row>
    <row r="133" spans="1:11" s="827" customFormat="1" x14ac:dyDescent="0.2">
      <c r="B133" s="846" t="s">
        <v>832</v>
      </c>
      <c r="C133" s="928" t="s">
        <v>833</v>
      </c>
      <c r="D133" s="929"/>
      <c r="E133" s="929"/>
      <c r="F133" s="929"/>
      <c r="G133" s="930"/>
      <c r="H133" s="838"/>
    </row>
    <row r="134" spans="1:11" s="827" customFormat="1" x14ac:dyDescent="0.2">
      <c r="B134" s="846" t="s">
        <v>834</v>
      </c>
      <c r="C134" s="928" t="s">
        <v>835</v>
      </c>
      <c r="D134" s="929"/>
      <c r="E134" s="929"/>
      <c r="F134" s="929"/>
      <c r="G134" s="930"/>
      <c r="H134" s="838"/>
    </row>
    <row r="135" spans="1:11" s="827" customFormat="1" x14ac:dyDescent="0.2">
      <c r="B135" s="846" t="s">
        <v>722</v>
      </c>
      <c r="C135" s="928" t="s">
        <v>836</v>
      </c>
      <c r="D135" s="929"/>
      <c r="E135" s="929"/>
      <c r="F135" s="929"/>
      <c r="G135" s="930"/>
      <c r="H135" s="838"/>
    </row>
    <row r="136" spans="1:11" s="827" customFormat="1" x14ac:dyDescent="0.2">
      <c r="B136" s="846" t="s">
        <v>837</v>
      </c>
      <c r="C136" s="928" t="s">
        <v>838</v>
      </c>
      <c r="D136" s="929"/>
      <c r="E136" s="929"/>
      <c r="F136" s="929"/>
      <c r="G136" s="930"/>
      <c r="H136" s="838"/>
    </row>
    <row r="137" spans="1:11" s="827" customFormat="1" x14ac:dyDescent="0.2">
      <c r="B137" s="846" t="s">
        <v>839</v>
      </c>
      <c r="C137" s="928" t="s">
        <v>840</v>
      </c>
      <c r="D137" s="929"/>
      <c r="E137" s="929"/>
      <c r="F137" s="929"/>
      <c r="G137" s="930"/>
      <c r="H137" s="838"/>
    </row>
    <row r="138" spans="1:11" s="827" customFormat="1" x14ac:dyDescent="0.2">
      <c r="B138" s="846" t="s">
        <v>716</v>
      </c>
      <c r="C138" s="928" t="s">
        <v>841</v>
      </c>
      <c r="D138" s="929"/>
      <c r="E138" s="929"/>
      <c r="F138" s="929"/>
      <c r="G138" s="930"/>
      <c r="H138" s="838"/>
    </row>
    <row r="139" spans="1:11" s="827" customFormat="1" ht="13.5" thickBot="1" x14ac:dyDescent="0.25">
      <c r="B139" s="931" t="s">
        <v>842</v>
      </c>
      <c r="C139" s="932"/>
      <c r="D139" s="932"/>
      <c r="E139" s="932"/>
      <c r="F139" s="932"/>
      <c r="G139" s="933"/>
      <c r="H139" s="838"/>
    </row>
    <row r="140" spans="1:11" s="827" customFormat="1" x14ac:dyDescent="0.2">
      <c r="B140" s="835"/>
      <c r="C140" s="828"/>
      <c r="D140" s="829"/>
      <c r="E140" s="830"/>
      <c r="F140" s="831"/>
      <c r="G140" s="832"/>
      <c r="H140" s="833"/>
      <c r="I140" s="834"/>
      <c r="J140" s="834"/>
    </row>
    <row r="141" spans="1:11" s="827" customFormat="1" ht="12.75" customHeight="1" x14ac:dyDescent="0.2">
      <c r="B141" s="842" t="s">
        <v>843</v>
      </c>
      <c r="C141" s="842"/>
      <c r="D141" s="842"/>
      <c r="E141" s="842"/>
      <c r="F141" s="842"/>
      <c r="G141" s="842"/>
      <c r="H141" s="833"/>
      <c r="I141" s="834"/>
      <c r="J141" s="834"/>
    </row>
    <row r="142" spans="1:11" s="827" customFormat="1" ht="25.5" x14ac:dyDescent="0.2">
      <c r="A142" s="847"/>
      <c r="B142" s="937" t="s">
        <v>857</v>
      </c>
      <c r="C142" s="937"/>
      <c r="D142" s="937"/>
      <c r="E142" s="937"/>
      <c r="F142" s="937"/>
      <c r="G142" s="937"/>
      <c r="H142" s="937"/>
      <c r="I142" s="937"/>
      <c r="J142" s="937"/>
      <c r="K142" s="937"/>
    </row>
    <row r="143" spans="1:11" s="827" customFormat="1" ht="13.5" thickBot="1" x14ac:dyDescent="0.25">
      <c r="B143" s="835"/>
      <c r="C143" s="828"/>
      <c r="D143" s="829"/>
      <c r="E143" s="830"/>
      <c r="F143" s="831"/>
      <c r="G143" s="832"/>
      <c r="H143" s="833"/>
      <c r="I143" s="834"/>
      <c r="J143" s="834"/>
    </row>
    <row r="144" spans="1:11" s="827" customFormat="1" ht="13.5" thickBot="1" x14ac:dyDescent="0.25">
      <c r="B144" s="850" t="s">
        <v>844</v>
      </c>
      <c r="C144" s="938" t="s">
        <v>845</v>
      </c>
      <c r="D144" s="939"/>
      <c r="E144" s="940"/>
      <c r="F144" s="181"/>
      <c r="G144" s="181"/>
      <c r="I144" s="834"/>
    </row>
    <row r="145" spans="1:8" s="827" customFormat="1" ht="385.5" customHeight="1" x14ac:dyDescent="0.2">
      <c r="A145" s="840"/>
      <c r="B145" s="837" t="s">
        <v>846</v>
      </c>
      <c r="C145" s="941" t="s">
        <v>847</v>
      </c>
      <c r="D145" s="942"/>
      <c r="E145" s="943"/>
      <c r="F145" s="181"/>
      <c r="G145" s="181"/>
      <c r="H145" s="838"/>
    </row>
    <row r="146" spans="1:8" s="827" customFormat="1" ht="60" customHeight="1" x14ac:dyDescent="0.2">
      <c r="A146" s="836"/>
      <c r="B146" s="839" t="s">
        <v>848</v>
      </c>
      <c r="C146" s="928" t="s">
        <v>849</v>
      </c>
      <c r="D146" s="929"/>
      <c r="E146" s="930"/>
      <c r="F146" s="181"/>
      <c r="G146" s="181"/>
      <c r="H146" s="838"/>
    </row>
    <row r="147" spans="1:8" s="827" customFormat="1" ht="23.25" customHeight="1" x14ac:dyDescent="0.2">
      <c r="A147" s="836"/>
      <c r="B147" s="839" t="s">
        <v>850</v>
      </c>
      <c r="C147" s="928" t="s">
        <v>851</v>
      </c>
      <c r="D147" s="929"/>
      <c r="E147" s="930"/>
      <c r="F147" s="181"/>
      <c r="G147" s="181"/>
      <c r="H147" s="838"/>
    </row>
    <row r="148" spans="1:8" s="827" customFormat="1" ht="23.25" x14ac:dyDescent="0.2">
      <c r="A148" s="836"/>
      <c r="B148" s="839" t="s">
        <v>852</v>
      </c>
      <c r="C148" s="928" t="s">
        <v>853</v>
      </c>
      <c r="D148" s="929"/>
      <c r="E148" s="930"/>
      <c r="F148" s="181"/>
      <c r="G148" s="181"/>
      <c r="H148" s="838"/>
    </row>
    <row r="149" spans="1:8" s="827" customFormat="1" ht="24" thickBot="1" x14ac:dyDescent="0.25">
      <c r="A149" s="836"/>
      <c r="B149" s="841" t="s">
        <v>854</v>
      </c>
      <c r="C149" s="934" t="s">
        <v>855</v>
      </c>
      <c r="D149" s="935"/>
      <c r="E149" s="936"/>
      <c r="F149" s="181"/>
      <c r="G149" s="181"/>
      <c r="H149" s="838"/>
    </row>
    <row r="150" spans="1:8" x14ac:dyDescent="0.2">
      <c r="B150" s="6"/>
    </row>
  </sheetData>
  <sheetProtection password="CF18" sheet="1" objects="1"/>
  <mergeCells count="42">
    <mergeCell ref="C148:E148"/>
    <mergeCell ref="C149:E149"/>
    <mergeCell ref="B142:K142"/>
    <mergeCell ref="C144:E144"/>
    <mergeCell ref="C145:E145"/>
    <mergeCell ref="C146:E146"/>
    <mergeCell ref="C147:E147"/>
    <mergeCell ref="C136:G136"/>
    <mergeCell ref="C137:G137"/>
    <mergeCell ref="C138:G138"/>
    <mergeCell ref="B139:G139"/>
    <mergeCell ref="C131:G131"/>
    <mergeCell ref="C132:G132"/>
    <mergeCell ref="C133:G133"/>
    <mergeCell ref="C134:G134"/>
    <mergeCell ref="C135:G135"/>
    <mergeCell ref="C126:G126"/>
    <mergeCell ref="C127:G127"/>
    <mergeCell ref="C128:G128"/>
    <mergeCell ref="C129:G129"/>
    <mergeCell ref="C130:G130"/>
    <mergeCell ref="C121:G121"/>
    <mergeCell ref="C122:G122"/>
    <mergeCell ref="C123:G123"/>
    <mergeCell ref="C124:G124"/>
    <mergeCell ref="C125:G125"/>
    <mergeCell ref="C116:G116"/>
    <mergeCell ref="C117:G117"/>
    <mergeCell ref="C118:G118"/>
    <mergeCell ref="C119:G119"/>
    <mergeCell ref="C120:G120"/>
    <mergeCell ref="B105:D105"/>
    <mergeCell ref="B108:D108"/>
    <mergeCell ref="B68:D68"/>
    <mergeCell ref="D93:E93"/>
    <mergeCell ref="B73:D73"/>
    <mergeCell ref="B77:D77"/>
    <mergeCell ref="B90:D90"/>
    <mergeCell ref="B92:D92"/>
    <mergeCell ref="B91:D91"/>
    <mergeCell ref="B95:D95"/>
    <mergeCell ref="B100:D100"/>
  </mergeCells>
  <phoneticPr fontId="0" type="noConversion"/>
  <conditionalFormatting sqref="J65 J25">
    <cfRule type="cellIs" dxfId="63" priority="59" operator="equal">
      <formula>"Нет"</formula>
    </cfRule>
  </conditionalFormatting>
  <conditionalFormatting sqref="B26:K64">
    <cfRule type="expression" dxfId="62" priority="60" stopIfTrue="1">
      <formula>AND(COLUMN()=COLUMN($B26),$B26=OFFSET($B26,-1,0))</formula>
    </cfRule>
    <cfRule type="expression" dxfId="61" priority="61" stopIfTrue="1">
      <formula>$B26&lt;&gt;OFFSET($B26,-1,0)</formula>
    </cfRule>
  </conditionalFormatting>
  <dataValidations count="2">
    <dataValidation type="list" allowBlank="1" showInputMessage="1" showErrorMessage="1" sqref="J26:J64">
      <formula1>"Да,Нет,Особ."</formula1>
    </dataValidation>
    <dataValidation type="list" allowBlank="1" showInputMessage="1" showErrorMessage="1" sqref="E26:E64">
      <formula1>typeIndexSm</formula1>
    </dataValidation>
  </dataValidations>
  <hyperlinks>
    <hyperlink ref="D2" location="'Медиа-Заявка'!R11C3" tooltip="Вернуться на медиа-заявку" display="'Медиа-Заявка'!R11C3"/>
    <hyperlink ref="B21" r:id="rId1" display="Прайс-лист:"/>
    <hyperlink ref="B22" r:id="rId2"/>
    <hyperlink ref="B23" r:id="rId3"/>
  </hyperlinks>
  <pageMargins left="0.74803149606299213" right="0.74803149606299213" top="0.98425196850393704" bottom="0.98425196850393704" header="0.51181102362204722" footer="0.51181102362204722"/>
  <pageSetup paperSize="9" scale="28" fitToHeight="2" orientation="landscape" r:id="rId4"/>
  <headerFooter alignWithMargins="0"/>
  <drawing r:id="rId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  <pageSetUpPr fitToPage="1"/>
  </sheetPr>
  <dimension ref="A1:K48"/>
  <sheetViews>
    <sheetView showGridLines="0" zoomScale="80" zoomScaleNormal="80" workbookViewId="0"/>
  </sheetViews>
  <sheetFormatPr defaultColWidth="9.140625" defaultRowHeight="12.75" x14ac:dyDescent="0.2"/>
  <cols>
    <col min="1" max="1" width="2.5703125" style="60" customWidth="1"/>
    <col min="2" max="2" width="33" style="60" customWidth="1"/>
    <col min="3" max="3" width="57.140625" style="60" customWidth="1"/>
    <col min="4" max="7" width="15.7109375" style="60" customWidth="1"/>
    <col min="8" max="9" width="15.7109375" style="253" customWidth="1"/>
    <col min="10" max="10" width="15.5703125" style="637" customWidth="1"/>
    <col min="11" max="11" width="66" style="60" customWidth="1"/>
    <col min="12" max="16384" width="9.140625" style="60"/>
  </cols>
  <sheetData>
    <row r="1" spans="2:10" x14ac:dyDescent="0.2">
      <c r="J1" s="636"/>
    </row>
    <row r="2" spans="2:10" ht="18" x14ac:dyDescent="0.2">
      <c r="B2" s="76" t="s">
        <v>910</v>
      </c>
      <c r="C2" s="12"/>
      <c r="D2" s="574" t="str">
        <f>СПЛИТ!$B$3</f>
        <v>Версия прайс-листа: 23.09.2013</v>
      </c>
    </row>
    <row r="3" spans="2:10" x14ac:dyDescent="0.2">
      <c r="B3" s="3" t="s">
        <v>198</v>
      </c>
      <c r="C3" s="4"/>
    </row>
    <row r="5" spans="2:10" x14ac:dyDescent="0.2">
      <c r="B5" s="6" t="s">
        <v>303</v>
      </c>
      <c r="C5" s="4"/>
      <c r="D5" s="671"/>
      <c r="E5" s="4"/>
    </row>
    <row r="6" spans="2:10" x14ac:dyDescent="0.2">
      <c r="B6" s="328" t="s">
        <v>89</v>
      </c>
      <c r="C6" s="328" t="s">
        <v>287</v>
      </c>
      <c r="D6" s="181"/>
    </row>
    <row r="7" spans="2:10" x14ac:dyDescent="0.2">
      <c r="B7" s="9" t="s">
        <v>79</v>
      </c>
      <c r="C7" s="670">
        <v>1</v>
      </c>
      <c r="D7" s="181"/>
    </row>
    <row r="8" spans="2:10" x14ac:dyDescent="0.2">
      <c r="B8" s="10" t="s">
        <v>80</v>
      </c>
      <c r="C8" s="642">
        <v>1</v>
      </c>
      <c r="D8" s="181"/>
    </row>
    <row r="9" spans="2:10" x14ac:dyDescent="0.2">
      <c r="B9" s="10" t="s">
        <v>81</v>
      </c>
      <c r="C9" s="286">
        <v>1</v>
      </c>
      <c r="D9" s="181"/>
    </row>
    <row r="10" spans="2:10" x14ac:dyDescent="0.2">
      <c r="B10" s="10" t="s">
        <v>82</v>
      </c>
      <c r="C10" s="286">
        <v>1</v>
      </c>
      <c r="D10" s="181"/>
    </row>
    <row r="11" spans="2:10" x14ac:dyDescent="0.2">
      <c r="B11" s="10" t="s">
        <v>83</v>
      </c>
      <c r="C11" s="286">
        <v>1</v>
      </c>
      <c r="D11" s="181"/>
    </row>
    <row r="12" spans="2:10" x14ac:dyDescent="0.2">
      <c r="B12" s="10" t="s">
        <v>84</v>
      </c>
      <c r="C12" s="286">
        <v>1</v>
      </c>
      <c r="D12" s="181"/>
    </row>
    <row r="13" spans="2:10" x14ac:dyDescent="0.2">
      <c r="B13" s="10" t="s">
        <v>85</v>
      </c>
      <c r="C13" s="642">
        <v>1</v>
      </c>
      <c r="D13" s="181"/>
    </row>
    <row r="14" spans="2:10" x14ac:dyDescent="0.2">
      <c r="B14" s="10" t="s">
        <v>74</v>
      </c>
      <c r="C14" s="642">
        <v>1</v>
      </c>
      <c r="D14" s="181"/>
    </row>
    <row r="15" spans="2:10" x14ac:dyDescent="0.2">
      <c r="B15" s="10" t="s">
        <v>75</v>
      </c>
      <c r="C15" s="642">
        <v>1</v>
      </c>
      <c r="D15" s="181"/>
    </row>
    <row r="16" spans="2:10" x14ac:dyDescent="0.2">
      <c r="B16" s="10" t="s">
        <v>86</v>
      </c>
      <c r="C16" s="642">
        <v>1</v>
      </c>
      <c r="D16" s="181"/>
    </row>
    <row r="17" spans="1:11" x14ac:dyDescent="0.2">
      <c r="B17" s="10" t="s">
        <v>87</v>
      </c>
      <c r="C17" s="642">
        <v>1</v>
      </c>
      <c r="D17" s="181"/>
    </row>
    <row r="18" spans="1:11" x14ac:dyDescent="0.2">
      <c r="B18" s="11" t="s">
        <v>88</v>
      </c>
      <c r="C18" s="643">
        <v>1</v>
      </c>
      <c r="D18" s="181"/>
    </row>
    <row r="19" spans="1:11" x14ac:dyDescent="0.2">
      <c r="B19" s="343"/>
      <c r="D19" s="181"/>
    </row>
    <row r="20" spans="1:11" x14ac:dyDescent="0.2">
      <c r="B20" s="687" t="s">
        <v>909</v>
      </c>
      <c r="D20" s="181"/>
    </row>
    <row r="21" spans="1:11" x14ac:dyDescent="0.2">
      <c r="B21" s="784" t="s">
        <v>609</v>
      </c>
    </row>
    <row r="22" spans="1:11" x14ac:dyDescent="0.2">
      <c r="B22" s="784" t="s">
        <v>610</v>
      </c>
    </row>
    <row r="24" spans="1:11" ht="44.25" customHeight="1" x14ac:dyDescent="0.55000000000000004">
      <c r="A24" s="319"/>
      <c r="B24" s="320" t="s">
        <v>278</v>
      </c>
      <c r="C24" s="320" t="s">
        <v>279</v>
      </c>
      <c r="D24" s="320" t="s">
        <v>275</v>
      </c>
      <c r="E24" s="320" t="s">
        <v>280</v>
      </c>
      <c r="F24" s="321" t="s">
        <v>395</v>
      </c>
      <c r="G24" s="320" t="s">
        <v>111</v>
      </c>
      <c r="H24" s="322" t="s">
        <v>282</v>
      </c>
      <c r="I24" s="322" t="s">
        <v>283</v>
      </c>
      <c r="J24" s="320" t="s">
        <v>284</v>
      </c>
      <c r="K24" s="321" t="s">
        <v>285</v>
      </c>
    </row>
    <row r="25" spans="1:11" ht="20.25" x14ac:dyDescent="0.3">
      <c r="A25" s="867"/>
      <c r="B25" s="645" t="s">
        <v>905</v>
      </c>
      <c r="C25" s="288" t="s">
        <v>906</v>
      </c>
      <c r="D25" s="290">
        <v>200</v>
      </c>
      <c r="E25" s="289" t="s">
        <v>101</v>
      </c>
      <c r="F25" s="290">
        <v>1</v>
      </c>
      <c r="G25" s="291">
        <f t="shared" ref="G25:G35" si="0">D25/F25</f>
        <v>200</v>
      </c>
      <c r="H25" s="296">
        <v>0</v>
      </c>
      <c r="I25" s="296" t="s">
        <v>52</v>
      </c>
      <c r="J25" s="289" t="s">
        <v>394</v>
      </c>
      <c r="K25" s="332" t="s">
        <v>907</v>
      </c>
    </row>
    <row r="26" spans="1:11" ht="25.5" x14ac:dyDescent="0.3">
      <c r="A26" s="867"/>
      <c r="B26" s="645" t="s">
        <v>905</v>
      </c>
      <c r="C26" s="288" t="s">
        <v>908</v>
      </c>
      <c r="D26" s="290">
        <v>200</v>
      </c>
      <c r="E26" s="289" t="s">
        <v>101</v>
      </c>
      <c r="F26" s="290">
        <v>1</v>
      </c>
      <c r="G26" s="291">
        <f>D26/F26</f>
        <v>200</v>
      </c>
      <c r="H26" s="296">
        <v>0</v>
      </c>
      <c r="I26" s="296" t="s">
        <v>52</v>
      </c>
      <c r="J26" s="289" t="s">
        <v>394</v>
      </c>
      <c r="K26" s="331" t="s">
        <v>916</v>
      </c>
    </row>
    <row r="27" spans="1:11" ht="22.5" customHeight="1" x14ac:dyDescent="0.3">
      <c r="A27" s="867"/>
      <c r="B27" s="646" t="s">
        <v>905</v>
      </c>
      <c r="C27" s="672" t="s">
        <v>911</v>
      </c>
      <c r="D27" s="290">
        <v>200</v>
      </c>
      <c r="E27" s="292" t="s">
        <v>101</v>
      </c>
      <c r="F27" s="293">
        <v>1</v>
      </c>
      <c r="G27" s="291">
        <f t="shared" si="0"/>
        <v>200</v>
      </c>
      <c r="H27" s="296">
        <v>0</v>
      </c>
      <c r="I27" s="296" t="s">
        <v>52</v>
      </c>
      <c r="J27" s="289" t="s">
        <v>394</v>
      </c>
      <c r="K27" s="333" t="s">
        <v>907</v>
      </c>
    </row>
    <row r="28" spans="1:11" ht="16.5" customHeight="1" x14ac:dyDescent="0.3">
      <c r="A28" s="867"/>
      <c r="B28" s="646" t="s">
        <v>905</v>
      </c>
      <c r="C28" s="294" t="s">
        <v>912</v>
      </c>
      <c r="D28" s="290">
        <v>200</v>
      </c>
      <c r="E28" s="292" t="s">
        <v>101</v>
      </c>
      <c r="F28" s="293">
        <v>1</v>
      </c>
      <c r="G28" s="295">
        <f t="shared" si="0"/>
        <v>200</v>
      </c>
      <c r="H28" s="296">
        <v>0</v>
      </c>
      <c r="I28" s="296" t="s">
        <v>52</v>
      </c>
      <c r="J28" s="292" t="s">
        <v>394</v>
      </c>
      <c r="K28" s="333" t="s">
        <v>913</v>
      </c>
    </row>
    <row r="29" spans="1:11" ht="30" customHeight="1" x14ac:dyDescent="0.3">
      <c r="A29" s="867"/>
      <c r="B29" s="645" t="s">
        <v>905</v>
      </c>
      <c r="C29" s="297" t="s">
        <v>914</v>
      </c>
      <c r="D29" s="290">
        <v>200</v>
      </c>
      <c r="E29" s="289" t="s">
        <v>101</v>
      </c>
      <c r="F29" s="290">
        <v>1</v>
      </c>
      <c r="G29" s="291">
        <f>D29/F29</f>
        <v>200</v>
      </c>
      <c r="H29" s="296">
        <v>0</v>
      </c>
      <c r="I29" s="296" t="s">
        <v>52</v>
      </c>
      <c r="J29" s="289" t="s">
        <v>394</v>
      </c>
      <c r="K29" s="332" t="s">
        <v>915</v>
      </c>
    </row>
    <row r="30" spans="1:11" ht="25.5" x14ac:dyDescent="0.3">
      <c r="A30" s="867"/>
      <c r="B30" s="645" t="s">
        <v>905</v>
      </c>
      <c r="C30" s="297" t="s">
        <v>917</v>
      </c>
      <c r="D30" s="290">
        <v>2250000</v>
      </c>
      <c r="E30" s="289" t="s">
        <v>96</v>
      </c>
      <c r="F30" s="290">
        <v>15000</v>
      </c>
      <c r="G30" s="291">
        <f t="shared" si="0"/>
        <v>150</v>
      </c>
      <c r="H30" s="296">
        <v>0</v>
      </c>
      <c r="I30" s="296" t="s">
        <v>52</v>
      </c>
      <c r="J30" s="289" t="s">
        <v>394</v>
      </c>
      <c r="K30" s="332" t="s">
        <v>918</v>
      </c>
    </row>
    <row r="31" spans="1:11" ht="28.5" customHeight="1" x14ac:dyDescent="0.3">
      <c r="A31" s="867"/>
      <c r="B31" s="645" t="s">
        <v>905</v>
      </c>
      <c r="C31" s="297" t="s">
        <v>919</v>
      </c>
      <c r="D31" s="290">
        <v>2250000</v>
      </c>
      <c r="E31" s="289" t="s">
        <v>96</v>
      </c>
      <c r="F31" s="290">
        <v>15000</v>
      </c>
      <c r="G31" s="291">
        <f t="shared" si="0"/>
        <v>150</v>
      </c>
      <c r="H31" s="296">
        <v>0</v>
      </c>
      <c r="I31" s="296" t="s">
        <v>52</v>
      </c>
      <c r="J31" s="289" t="s">
        <v>394</v>
      </c>
      <c r="K31" s="332" t="s">
        <v>918</v>
      </c>
    </row>
    <row r="32" spans="1:11" ht="25.5" x14ac:dyDescent="0.3">
      <c r="A32" s="867"/>
      <c r="B32" s="645" t="s">
        <v>905</v>
      </c>
      <c r="C32" s="297" t="s">
        <v>920</v>
      </c>
      <c r="D32" s="290">
        <v>2250000</v>
      </c>
      <c r="E32" s="292" t="s">
        <v>96</v>
      </c>
      <c r="F32" s="293">
        <v>15000</v>
      </c>
      <c r="G32" s="291">
        <f t="shared" si="0"/>
        <v>150</v>
      </c>
      <c r="H32" s="296">
        <v>0</v>
      </c>
      <c r="I32" s="296" t="s">
        <v>52</v>
      </c>
      <c r="J32" s="292" t="s">
        <v>394</v>
      </c>
      <c r="K32" s="333" t="s">
        <v>921</v>
      </c>
    </row>
    <row r="33" spans="1:11" ht="44.25" customHeight="1" x14ac:dyDescent="0.3">
      <c r="A33" s="867"/>
      <c r="B33" s="645" t="s">
        <v>922</v>
      </c>
      <c r="C33" s="297" t="s">
        <v>933</v>
      </c>
      <c r="D33" s="290">
        <v>300</v>
      </c>
      <c r="E33" s="292" t="s">
        <v>101</v>
      </c>
      <c r="F33" s="293">
        <v>1</v>
      </c>
      <c r="G33" s="291">
        <f t="shared" si="0"/>
        <v>300</v>
      </c>
      <c r="H33" s="296">
        <v>0</v>
      </c>
      <c r="I33" s="296" t="s">
        <v>52</v>
      </c>
      <c r="J33" s="292" t="s">
        <v>394</v>
      </c>
      <c r="K33" s="333" t="s">
        <v>934</v>
      </c>
    </row>
    <row r="34" spans="1:11" ht="25.5" x14ac:dyDescent="0.3">
      <c r="A34" s="867"/>
      <c r="B34" s="645" t="s">
        <v>922</v>
      </c>
      <c r="C34" s="297" t="s">
        <v>935</v>
      </c>
      <c r="D34" s="290">
        <v>600000</v>
      </c>
      <c r="E34" s="292" t="s">
        <v>96</v>
      </c>
      <c r="F34" s="293">
        <v>3000</v>
      </c>
      <c r="G34" s="291">
        <f t="shared" si="0"/>
        <v>200</v>
      </c>
      <c r="H34" s="296">
        <v>0</v>
      </c>
      <c r="I34" s="296" t="s">
        <v>52</v>
      </c>
      <c r="J34" s="292" t="s">
        <v>394</v>
      </c>
      <c r="K34" s="809" t="s">
        <v>936</v>
      </c>
    </row>
    <row r="35" spans="1:11" ht="25.5" x14ac:dyDescent="0.3">
      <c r="A35" s="867"/>
      <c r="B35" s="647" t="s">
        <v>922</v>
      </c>
      <c r="C35" s="297" t="s">
        <v>923</v>
      </c>
      <c r="D35" s="290">
        <v>600</v>
      </c>
      <c r="E35" s="292" t="s">
        <v>101</v>
      </c>
      <c r="F35" s="293">
        <v>1</v>
      </c>
      <c r="G35" s="291">
        <f t="shared" si="0"/>
        <v>600</v>
      </c>
      <c r="H35" s="296">
        <v>0</v>
      </c>
      <c r="I35" s="296" t="s">
        <v>52</v>
      </c>
      <c r="J35" s="292" t="s">
        <v>394</v>
      </c>
      <c r="K35" s="333" t="s">
        <v>924</v>
      </c>
    </row>
    <row r="36" spans="1:11" x14ac:dyDescent="0.2">
      <c r="B36" s="323" t="s">
        <v>288</v>
      </c>
      <c r="C36" s="324"/>
      <c r="D36" s="325"/>
      <c r="E36" s="325"/>
      <c r="F36" s="325"/>
      <c r="G36" s="325"/>
      <c r="H36" s="326"/>
      <c r="I36" s="326"/>
      <c r="J36" s="329"/>
      <c r="K36" s="327"/>
    </row>
    <row r="38" spans="1:11" x14ac:dyDescent="0.2">
      <c r="B38" s="303" t="s">
        <v>302</v>
      </c>
    </row>
    <row r="39" spans="1:11" x14ac:dyDescent="0.2">
      <c r="B39" s="913" t="s">
        <v>925</v>
      </c>
      <c r="C39" s="914"/>
      <c r="D39" s="915"/>
    </row>
    <row r="40" spans="1:11" ht="12.75" customHeight="1" x14ac:dyDescent="0.2">
      <c r="B40" s="80" t="s">
        <v>282</v>
      </c>
      <c r="C40" s="665">
        <v>0</v>
      </c>
      <c r="D40" s="773" t="s">
        <v>926</v>
      </c>
      <c r="E40" s="865"/>
      <c r="F40" s="673"/>
      <c r="G40" s="673"/>
      <c r="H40" s="673"/>
    </row>
    <row r="41" spans="1:11" s="253" customFormat="1" x14ac:dyDescent="0.2">
      <c r="A41" s="60"/>
      <c r="B41" s="913" t="s">
        <v>300</v>
      </c>
      <c r="C41" s="914"/>
      <c r="D41" s="915"/>
      <c r="E41" s="60"/>
      <c r="F41" s="60"/>
      <c r="G41" s="60"/>
      <c r="J41" s="637"/>
      <c r="K41" s="60"/>
    </row>
    <row r="42" spans="1:11" s="253" customFormat="1" x14ac:dyDescent="0.2">
      <c r="A42" s="60"/>
      <c r="B42" s="77" t="s">
        <v>139</v>
      </c>
      <c r="C42" s="92">
        <v>0</v>
      </c>
      <c r="D42" s="93"/>
      <c r="E42" s="60"/>
      <c r="F42" s="60"/>
      <c r="G42" s="60"/>
      <c r="J42" s="637"/>
      <c r="K42" s="60"/>
    </row>
    <row r="43" spans="1:11" s="253" customFormat="1" x14ac:dyDescent="0.2">
      <c r="A43" s="60"/>
      <c r="B43" s="80" t="s">
        <v>9</v>
      </c>
      <c r="C43" s="94">
        <v>0</v>
      </c>
      <c r="D43" s="95"/>
      <c r="E43" s="60"/>
      <c r="F43" s="60"/>
      <c r="G43" s="60"/>
      <c r="J43" s="637"/>
      <c r="K43" s="60"/>
    </row>
    <row r="44" spans="1:11" s="253" customFormat="1" x14ac:dyDescent="0.2">
      <c r="A44" s="60"/>
      <c r="B44" s="83" t="s">
        <v>144</v>
      </c>
      <c r="C44" s="96">
        <v>0</v>
      </c>
      <c r="D44" s="97"/>
      <c r="E44" s="60"/>
      <c r="F44" s="60"/>
      <c r="G44" s="60"/>
      <c r="J44" s="637"/>
      <c r="K44" s="60"/>
    </row>
    <row r="45" spans="1:11" s="253" customFormat="1" x14ac:dyDescent="0.2">
      <c r="A45" s="60"/>
      <c r="B45" s="6"/>
      <c r="C45" s="60"/>
      <c r="D45" s="60"/>
      <c r="E45" s="60"/>
      <c r="F45" s="60"/>
      <c r="G45" s="60"/>
      <c r="J45" s="637"/>
      <c r="K45" s="60"/>
    </row>
    <row r="46" spans="1:11" s="253" customFormat="1" x14ac:dyDescent="0.2">
      <c r="A46" s="60"/>
      <c r="B46" s="6" t="s">
        <v>928</v>
      </c>
      <c r="C46" s="60"/>
      <c r="D46" s="60"/>
      <c r="E46" s="60"/>
      <c r="F46" s="60"/>
      <c r="G46" s="60"/>
      <c r="J46" s="637"/>
      <c r="K46" s="60"/>
    </row>
    <row r="47" spans="1:11" s="253" customFormat="1" x14ac:dyDescent="0.2">
      <c r="A47" s="60"/>
      <c r="B47" s="4" t="s">
        <v>927</v>
      </c>
      <c r="C47" s="60"/>
      <c r="D47" s="60"/>
      <c r="E47" s="60"/>
      <c r="F47" s="60"/>
      <c r="G47" s="60"/>
      <c r="J47" s="637"/>
      <c r="K47" s="60"/>
    </row>
    <row r="48" spans="1:11" s="253" customFormat="1" x14ac:dyDescent="0.2">
      <c r="A48" s="60"/>
      <c r="B48" s="6"/>
      <c r="C48" s="60"/>
      <c r="D48" s="60"/>
      <c r="E48" s="60"/>
      <c r="F48" s="60"/>
      <c r="G48" s="60"/>
      <c r="J48" s="637"/>
      <c r="K48" s="60"/>
    </row>
  </sheetData>
  <sheetProtection password="CF18" sheet="1" objects="1"/>
  <mergeCells count="2">
    <mergeCell ref="B41:D41"/>
    <mergeCell ref="B39:D39"/>
  </mergeCells>
  <conditionalFormatting sqref="J36 J24">
    <cfRule type="cellIs" dxfId="60" priority="1" operator="equal">
      <formula>"Нет"</formula>
    </cfRule>
  </conditionalFormatting>
  <conditionalFormatting sqref="B25:K35">
    <cfRule type="expression" dxfId="59" priority="2" stopIfTrue="1">
      <formula>AND(COLUMN()=COLUMN($B25),$B25=OFFSET($B25,-1,0))</formula>
    </cfRule>
    <cfRule type="expression" dxfId="58" priority="3" stopIfTrue="1">
      <formula>$B25&lt;&gt;OFFSET($B25,-1,0)</formula>
    </cfRule>
  </conditionalFormatting>
  <dataValidations count="2">
    <dataValidation type="list" allowBlank="1" showInputMessage="1" showErrorMessage="1" sqref="E25:E35">
      <formula1>typeIndexSm</formula1>
    </dataValidation>
    <dataValidation type="list" allowBlank="1" showInputMessage="1" showErrorMessage="1" sqref="J25:J35">
      <formula1>"Да,Нет,Особ."</formula1>
    </dataValidation>
  </dataValidations>
  <hyperlinks>
    <hyperlink ref="D2" location="'Медиа-Заявка'!R51C3" tooltip="Вернуться на медиа-заявку" display="'Медиа-Заявка'!R51C3"/>
    <hyperlink ref="B21" r:id="rId1"/>
    <hyperlink ref="B22" r:id="rId2"/>
  </hyperlinks>
  <pageMargins left="0.74803149606299213" right="0.74803149606299213" top="0.98425196850393704" bottom="0.98425196850393704" header="0.51181102362204722" footer="0.51181102362204722"/>
  <pageSetup paperSize="9" scale="28" fitToHeight="2" orientation="landscape" r:id="rId3"/>
  <headerFooter alignWithMargins="0"/>
  <drawing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tabColor rgb="FF92D050"/>
    <pageSetUpPr fitToPage="1"/>
  </sheetPr>
  <dimension ref="A1:K42"/>
  <sheetViews>
    <sheetView showGridLines="0" zoomScale="80" zoomScaleNormal="80" workbookViewId="0"/>
  </sheetViews>
  <sheetFormatPr defaultColWidth="9.140625" defaultRowHeight="12.75" x14ac:dyDescent="0.2"/>
  <cols>
    <col min="1" max="1" width="2.5703125" style="60" customWidth="1"/>
    <col min="2" max="2" width="33" style="60" customWidth="1"/>
    <col min="3" max="3" width="57.140625" style="60" customWidth="1"/>
    <col min="4" max="7" width="15.7109375" style="60" customWidth="1"/>
    <col min="8" max="9" width="15.7109375" style="253" customWidth="1"/>
    <col min="10" max="10" width="15.5703125" style="637" customWidth="1"/>
    <col min="11" max="11" width="66" style="60" customWidth="1"/>
    <col min="12" max="16384" width="9.140625" style="60"/>
  </cols>
  <sheetData>
    <row r="1" spans="2:10" x14ac:dyDescent="0.2">
      <c r="J1" s="636"/>
    </row>
    <row r="2" spans="2:10" ht="18" x14ac:dyDescent="0.2">
      <c r="B2" s="76" t="s">
        <v>586</v>
      </c>
      <c r="C2" s="12"/>
      <c r="D2" s="574" t="str">
        <f>СПЛИТ!$B$3</f>
        <v>Версия прайс-листа: 23.09.2013</v>
      </c>
    </row>
    <row r="3" spans="2:10" x14ac:dyDescent="0.2">
      <c r="B3" s="3" t="s">
        <v>198</v>
      </c>
      <c r="C3" s="4"/>
    </row>
    <row r="5" spans="2:10" x14ac:dyDescent="0.2">
      <c r="B5" s="6" t="s">
        <v>303</v>
      </c>
      <c r="C5" s="4"/>
      <c r="D5" s="671"/>
      <c r="E5" s="4"/>
    </row>
    <row r="6" spans="2:10" x14ac:dyDescent="0.2">
      <c r="B6" s="328" t="s">
        <v>89</v>
      </c>
      <c r="C6" s="328" t="s">
        <v>287</v>
      </c>
      <c r="D6"/>
    </row>
    <row r="7" spans="2:10" x14ac:dyDescent="0.2">
      <c r="B7" s="9" t="s">
        <v>79</v>
      </c>
      <c r="C7" s="670">
        <v>0.8</v>
      </c>
      <c r="D7"/>
    </row>
    <row r="8" spans="2:10" x14ac:dyDescent="0.2">
      <c r="B8" s="10" t="s">
        <v>80</v>
      </c>
      <c r="C8" s="642">
        <v>1</v>
      </c>
      <c r="D8"/>
    </row>
    <row r="9" spans="2:10" x14ac:dyDescent="0.2">
      <c r="B9" s="10" t="s">
        <v>81</v>
      </c>
      <c r="C9" s="286">
        <v>1</v>
      </c>
      <c r="D9"/>
    </row>
    <row r="10" spans="2:10" x14ac:dyDescent="0.2">
      <c r="B10" s="10" t="s">
        <v>82</v>
      </c>
      <c r="C10" s="286">
        <v>1</v>
      </c>
      <c r="D10"/>
    </row>
    <row r="11" spans="2:10" x14ac:dyDescent="0.2">
      <c r="B11" s="10" t="s">
        <v>83</v>
      </c>
      <c r="C11" s="286">
        <v>1</v>
      </c>
      <c r="D11"/>
    </row>
    <row r="12" spans="2:10" x14ac:dyDescent="0.2">
      <c r="B12" s="10" t="s">
        <v>84</v>
      </c>
      <c r="C12" s="286">
        <v>1</v>
      </c>
      <c r="D12"/>
    </row>
    <row r="13" spans="2:10" x14ac:dyDescent="0.2">
      <c r="B13" s="10" t="s">
        <v>85</v>
      </c>
      <c r="C13" s="642">
        <v>1</v>
      </c>
      <c r="D13"/>
    </row>
    <row r="14" spans="2:10" x14ac:dyDescent="0.2">
      <c r="B14" s="10" t="s">
        <v>74</v>
      </c>
      <c r="C14" s="642">
        <v>1</v>
      </c>
      <c r="D14"/>
    </row>
    <row r="15" spans="2:10" x14ac:dyDescent="0.2">
      <c r="B15" s="10" t="s">
        <v>75</v>
      </c>
      <c r="C15" s="642">
        <v>1.3</v>
      </c>
      <c r="D15"/>
    </row>
    <row r="16" spans="2:10" x14ac:dyDescent="0.2">
      <c r="B16" s="10" t="s">
        <v>86</v>
      </c>
      <c r="C16" s="642">
        <v>1.3</v>
      </c>
      <c r="D16"/>
    </row>
    <row r="17" spans="1:11" x14ac:dyDescent="0.2">
      <c r="B17" s="10" t="s">
        <v>87</v>
      </c>
      <c r="C17" s="642">
        <v>1.3</v>
      </c>
      <c r="D17"/>
    </row>
    <row r="18" spans="1:11" x14ac:dyDescent="0.2">
      <c r="B18" s="11" t="s">
        <v>88</v>
      </c>
      <c r="C18" s="643">
        <v>1.3</v>
      </c>
      <c r="D18"/>
    </row>
    <row r="19" spans="1:11" x14ac:dyDescent="0.2">
      <c r="B19" s="343"/>
      <c r="D19" s="318"/>
    </row>
    <row r="22" spans="1:11" ht="44.25" customHeight="1" x14ac:dyDescent="0.55000000000000004">
      <c r="A22" s="319"/>
      <c r="B22" s="320" t="s">
        <v>278</v>
      </c>
      <c r="C22" s="320" t="s">
        <v>279</v>
      </c>
      <c r="D22" s="320" t="s">
        <v>275</v>
      </c>
      <c r="E22" s="320" t="s">
        <v>280</v>
      </c>
      <c r="F22" s="321" t="s">
        <v>395</v>
      </c>
      <c r="G22" s="320" t="s">
        <v>111</v>
      </c>
      <c r="H22" s="322" t="s">
        <v>282</v>
      </c>
      <c r="I22" s="322" t="s">
        <v>283</v>
      </c>
      <c r="J22" s="320" t="s">
        <v>284</v>
      </c>
      <c r="K22" s="321" t="s">
        <v>285</v>
      </c>
    </row>
    <row r="23" spans="1:11" x14ac:dyDescent="0.2">
      <c r="B23" s="645" t="s">
        <v>481</v>
      </c>
      <c r="C23" s="288" t="s">
        <v>504</v>
      </c>
      <c r="D23" s="290">
        <v>1200000</v>
      </c>
      <c r="E23" s="289" t="s">
        <v>96</v>
      </c>
      <c r="F23" s="290">
        <v>4000</v>
      </c>
      <c r="G23" s="291">
        <f t="shared" ref="G23:G25" si="0">D23/F23</f>
        <v>300</v>
      </c>
      <c r="H23" s="296" t="s">
        <v>103</v>
      </c>
      <c r="I23" s="296" t="s">
        <v>103</v>
      </c>
      <c r="J23" s="289" t="s">
        <v>393</v>
      </c>
      <c r="K23" s="332" t="s">
        <v>482</v>
      </c>
    </row>
    <row r="24" spans="1:11" x14ac:dyDescent="0.2">
      <c r="B24" s="645" t="s">
        <v>481</v>
      </c>
      <c r="C24" s="288" t="s">
        <v>510</v>
      </c>
      <c r="D24" s="290">
        <v>2000000</v>
      </c>
      <c r="E24" s="289" t="s">
        <v>96</v>
      </c>
      <c r="F24" s="290">
        <v>8000</v>
      </c>
      <c r="G24" s="291">
        <f>D24/F24</f>
        <v>250</v>
      </c>
      <c r="H24" s="296" t="s">
        <v>103</v>
      </c>
      <c r="I24" s="296" t="s">
        <v>103</v>
      </c>
      <c r="J24" s="289" t="s">
        <v>393</v>
      </c>
      <c r="K24" s="332" t="s">
        <v>482</v>
      </c>
    </row>
    <row r="25" spans="1:11" ht="25.5" x14ac:dyDescent="0.2">
      <c r="B25" s="647" t="s">
        <v>481</v>
      </c>
      <c r="C25" s="297" t="s">
        <v>585</v>
      </c>
      <c r="D25" s="300">
        <v>1000000</v>
      </c>
      <c r="E25" s="292" t="s">
        <v>96</v>
      </c>
      <c r="F25" s="293">
        <v>2500</v>
      </c>
      <c r="G25" s="291">
        <f t="shared" si="0"/>
        <v>400</v>
      </c>
      <c r="H25" s="296">
        <v>0.25</v>
      </c>
      <c r="I25" s="296" t="s">
        <v>103</v>
      </c>
      <c r="J25" s="292" t="s">
        <v>393</v>
      </c>
      <c r="K25" s="333" t="s">
        <v>886</v>
      </c>
    </row>
    <row r="26" spans="1:11" x14ac:dyDescent="0.2">
      <c r="B26" s="323" t="s">
        <v>288</v>
      </c>
      <c r="C26" s="324"/>
      <c r="D26" s="325"/>
      <c r="E26" s="325"/>
      <c r="F26" s="325"/>
      <c r="G26" s="325"/>
      <c r="H26" s="326"/>
      <c r="I26" s="326"/>
      <c r="J26" s="329"/>
      <c r="K26" s="327"/>
    </row>
    <row r="28" spans="1:11" x14ac:dyDescent="0.2">
      <c r="B28" s="303" t="s">
        <v>302</v>
      </c>
    </row>
    <row r="29" spans="1:11" ht="15" x14ac:dyDescent="0.2">
      <c r="A29" s="307"/>
      <c r="B29" s="913" t="s">
        <v>304</v>
      </c>
      <c r="C29" s="914"/>
      <c r="D29" s="915"/>
      <c r="J29" s="60"/>
    </row>
    <row r="30" spans="1:11" ht="57" customHeight="1" x14ac:dyDescent="0.2">
      <c r="A30" s="308"/>
      <c r="B30" s="337" t="s">
        <v>562</v>
      </c>
      <c r="C30" s="338">
        <v>0.5</v>
      </c>
      <c r="D30" s="778"/>
      <c r="J30" s="60"/>
    </row>
    <row r="31" spans="1:11" s="253" customFormat="1" x14ac:dyDescent="0.2">
      <c r="A31" s="60"/>
      <c r="B31" s="913" t="s">
        <v>306</v>
      </c>
      <c r="C31" s="914"/>
      <c r="D31" s="915"/>
      <c r="E31" s="60"/>
      <c r="F31" s="60"/>
      <c r="G31" s="60"/>
      <c r="J31" s="637"/>
      <c r="K31" s="60"/>
    </row>
    <row r="32" spans="1:11" s="253" customFormat="1" ht="12.75" customHeight="1" x14ac:dyDescent="0.2">
      <c r="A32" s="60"/>
      <c r="B32" s="77" t="s">
        <v>419</v>
      </c>
      <c r="C32" s="665">
        <v>0.25</v>
      </c>
      <c r="D32" s="779" t="s">
        <v>574</v>
      </c>
      <c r="E32" s="673"/>
      <c r="F32" s="673"/>
      <c r="G32" s="673"/>
      <c r="H32" s="673"/>
      <c r="J32" s="637"/>
      <c r="K32" s="60"/>
    </row>
    <row r="33" spans="1:11" s="253" customFormat="1" ht="12.75" customHeight="1" x14ac:dyDescent="0.2">
      <c r="A33" s="60"/>
      <c r="B33" s="80" t="s">
        <v>420</v>
      </c>
      <c r="C33" s="81">
        <v>0.25</v>
      </c>
      <c r="D33" s="674" t="s">
        <v>573</v>
      </c>
      <c r="E33" s="666"/>
      <c r="F33" s="666"/>
      <c r="G33" s="666"/>
      <c r="H33" s="666"/>
      <c r="J33" s="637"/>
      <c r="K33" s="60"/>
    </row>
    <row r="34" spans="1:11" s="253" customFormat="1" ht="12.75" customHeight="1" x14ac:dyDescent="0.2">
      <c r="A34" s="60"/>
      <c r="B34" s="80" t="s">
        <v>421</v>
      </c>
      <c r="C34" s="81">
        <v>0.25</v>
      </c>
      <c r="D34" s="674" t="s">
        <v>508</v>
      </c>
      <c r="E34" s="666"/>
      <c r="F34" s="666"/>
      <c r="G34" s="666"/>
      <c r="H34" s="666"/>
      <c r="J34" s="637"/>
      <c r="K34" s="60"/>
    </row>
    <row r="35" spans="1:11" s="253" customFormat="1" ht="25.5" customHeight="1" x14ac:dyDescent="0.2">
      <c r="A35" s="60"/>
      <c r="B35" s="83" t="s">
        <v>422</v>
      </c>
      <c r="C35" s="84">
        <v>0.25</v>
      </c>
      <c r="D35" s="675" t="s">
        <v>508</v>
      </c>
      <c r="E35" s="673"/>
      <c r="F35" s="666"/>
      <c r="G35" s="666"/>
      <c r="H35" s="666"/>
      <c r="J35" s="637"/>
      <c r="K35" s="60"/>
    </row>
    <row r="36" spans="1:11" x14ac:dyDescent="0.2">
      <c r="B36" s="913" t="s">
        <v>301</v>
      </c>
      <c r="C36" s="914"/>
      <c r="D36" s="915"/>
    </row>
    <row r="37" spans="1:11" x14ac:dyDescent="0.2">
      <c r="B37" s="944" t="s">
        <v>515</v>
      </c>
      <c r="C37" s="945"/>
      <c r="D37" s="946"/>
    </row>
    <row r="38" spans="1:11" x14ac:dyDescent="0.2">
      <c r="B38" s="679" t="s">
        <v>516</v>
      </c>
      <c r="C38" s="677"/>
      <c r="D38" s="678"/>
    </row>
    <row r="39" spans="1:11" x14ac:dyDescent="0.2">
      <c r="B39" s="913" t="s">
        <v>300</v>
      </c>
      <c r="C39" s="914"/>
      <c r="D39" s="915"/>
    </row>
    <row r="40" spans="1:11" x14ac:dyDescent="0.2">
      <c r="B40" s="77" t="s">
        <v>540</v>
      </c>
      <c r="C40" s="92">
        <v>0.5</v>
      </c>
      <c r="D40" s="93"/>
    </row>
    <row r="41" spans="1:11" x14ac:dyDescent="0.2">
      <c r="B41" s="83" t="s">
        <v>450</v>
      </c>
      <c r="C41" s="96">
        <v>0</v>
      </c>
      <c r="D41" s="97"/>
    </row>
    <row r="42" spans="1:11" s="253" customFormat="1" x14ac:dyDescent="0.2">
      <c r="A42" s="60"/>
      <c r="C42" s="60"/>
      <c r="D42" s="60"/>
      <c r="E42" s="60"/>
      <c r="F42" s="60"/>
      <c r="G42" s="60"/>
      <c r="J42" s="637"/>
      <c r="K42" s="60"/>
    </row>
  </sheetData>
  <sheetProtection password="CF18" sheet="1" objects="1"/>
  <mergeCells count="5">
    <mergeCell ref="B31:D31"/>
    <mergeCell ref="B29:D29"/>
    <mergeCell ref="B36:D36"/>
    <mergeCell ref="B37:D37"/>
    <mergeCell ref="B39:D39"/>
  </mergeCells>
  <conditionalFormatting sqref="J26 J22">
    <cfRule type="cellIs" dxfId="57" priority="9" operator="equal">
      <formula>"Нет"</formula>
    </cfRule>
  </conditionalFormatting>
  <conditionalFormatting sqref="B23:K25">
    <cfRule type="expression" dxfId="56" priority="10" stopIfTrue="1">
      <formula>AND(COLUMN()=COLUMN($B23),$B23=OFFSET($B23,-1,0))</formula>
    </cfRule>
    <cfRule type="expression" dxfId="55" priority="11" stopIfTrue="1">
      <formula>$B23&lt;&gt;OFFSET($B23,-1,0)</formula>
    </cfRule>
  </conditionalFormatting>
  <dataValidations count="2">
    <dataValidation type="list" allowBlank="1" showInputMessage="1" showErrorMessage="1" sqref="E23:E25">
      <formula1>typeIndexSm</formula1>
    </dataValidation>
    <dataValidation type="list" allowBlank="1" showInputMessage="1" showErrorMessage="1" sqref="J23:J25">
      <formula1>"Да,Нет,Особ."</formula1>
    </dataValidation>
  </dataValidations>
  <hyperlinks>
    <hyperlink ref="D2" location="'Медиа-Заявка'!R63C3" tooltip="Вернуться на медиа-заявку" display="'Медиа-Заявка'!R63C3"/>
    <hyperlink ref="B38" r:id="rId1"/>
  </hyperlinks>
  <pageMargins left="0.74803149606299213" right="0.74803149606299213" top="0.98425196850393704" bottom="0.98425196850393704" header="0.51181102362204722" footer="0.51181102362204722"/>
  <pageSetup paperSize="9" scale="49" orientation="landscape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33</vt:i4>
      </vt:variant>
      <vt:variant>
        <vt:lpstr>Именованные диапазоны</vt:lpstr>
      </vt:variant>
      <vt:variant>
        <vt:i4>8</vt:i4>
      </vt:variant>
    </vt:vector>
  </HeadingPairs>
  <TitlesOfParts>
    <vt:vector size="41" baseType="lpstr">
      <vt:lpstr>СПЛИТ</vt:lpstr>
      <vt:lpstr>Медиа-Заявка</vt:lpstr>
      <vt:lpstr>Итого</vt:lpstr>
      <vt:lpstr>Yandex.ru</vt:lpstr>
      <vt:lpstr>ЯЗНАЮ</vt:lpstr>
      <vt:lpstr>VK.com</vt:lpstr>
      <vt:lpstr>RBC.ru</vt:lpstr>
      <vt:lpstr>Afisha.ru</vt:lpstr>
      <vt:lpstr>Rusnovosti.ru</vt:lpstr>
      <vt:lpstr>Avito.ru</vt:lpstr>
      <vt:lpstr>Muz-tv.ru</vt:lpstr>
      <vt:lpstr>Motor.ru</vt:lpstr>
      <vt:lpstr>Kommersant.ru</vt:lpstr>
      <vt:lpstr>Newsru.com</vt:lpstr>
      <vt:lpstr>WMJ.ru</vt:lpstr>
      <vt:lpstr>Passion.ru</vt:lpstr>
      <vt:lpstr>Vesti.ru</vt:lpstr>
      <vt:lpstr>RIA.ru</vt:lpstr>
      <vt:lpstr>InoPressa.ru</vt:lpstr>
      <vt:lpstr>LiveInternet.ru</vt:lpstr>
      <vt:lpstr>Sports.ru</vt:lpstr>
      <vt:lpstr>Auto.ru</vt:lpstr>
      <vt:lpstr>3DNews.ru</vt:lpstr>
      <vt:lpstr>VokrugSveta.ru</vt:lpstr>
      <vt:lpstr>Friday.ru</vt:lpstr>
      <vt:lpstr>101.ru</vt:lpstr>
      <vt:lpstr>GoodHouse.ru</vt:lpstr>
      <vt:lpstr>MedPortal.ru</vt:lpstr>
      <vt:lpstr>Tvidi.ru</vt:lpstr>
      <vt:lpstr>Disney.ru</vt:lpstr>
      <vt:lpstr>Echo.Msk.ru</vt:lpstr>
      <vt:lpstr>F1News.ru</vt:lpstr>
      <vt:lpstr>ВидеоСеть</vt:lpstr>
      <vt:lpstr>currentVersion</vt:lpstr>
      <vt:lpstr>linkTest</vt:lpstr>
      <vt:lpstr>listCalc</vt:lpstr>
      <vt:lpstr>medResRows</vt:lpstr>
      <vt:lpstr>orders</vt:lpstr>
      <vt:lpstr>resList</vt:lpstr>
      <vt:lpstr>showCol</vt:lpstr>
      <vt:lpstr>topleft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Fribus Svetlana</cp:lastModifiedBy>
  <cp:lastPrinted>2013-04-30T11:10:44Z</cp:lastPrinted>
  <dcterms:created xsi:type="dcterms:W3CDTF">2006-09-10T14:38:41Z</dcterms:created>
  <dcterms:modified xsi:type="dcterms:W3CDTF">2013-09-23T12:37:41Z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